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hidePivotFieldList="1"/>
  <mc:AlternateContent xmlns:mc="http://schemas.openxmlformats.org/markup-compatibility/2006">
    <mc:Choice Requires="x15">
      <x15ac:absPath xmlns:x15ac="http://schemas.microsoft.com/office/spreadsheetml/2010/11/ac" url="S:\2025 PROIEKTUAK\EMISIOAK\COV\A25013 EDERFIL BECKER\Alegia\Definitiboa\"/>
    </mc:Choice>
  </mc:AlternateContent>
  <xr:revisionPtr revIDLastSave="0" documentId="13_ncr:1_{56E03C2B-EB59-4E86-B7F3-14B6C74D34DE}" xr6:coauthVersionLast="45" xr6:coauthVersionMax="47" xr10:uidLastSave="{00000000-0000-0000-0000-000000000000}"/>
  <bookViews>
    <workbookView xWindow="-120" yWindow="-120" windowWidth="29040" windowHeight="15840" tabRatio="806" activeTab="4" xr2:uid="{00000000-000D-0000-FFFF-FFFF00000000}"/>
  </bookViews>
  <sheets>
    <sheet name="Consumo barnices" sheetId="3" r:id="rId1"/>
    <sheet name="Horas funcionamiento" sheetId="6" r:id="rId2"/>
    <sheet name="Calculo % difusas" sheetId="8" r:id="rId3"/>
    <sheet name="Emision masica" sheetId="5" r:id="rId4"/>
    <sheet name="BALANCE" sheetId="7" r:id="rId5"/>
  </sheets>
  <externalReferences>
    <externalReference r:id="rId6"/>
  </externalReferences>
  <definedNames>
    <definedName name="_xlnm._FilterDatabase" localSheetId="3" hidden="1">'Emision masica'!$A$16:$M$88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6" i="7" l="1"/>
  <c r="L37" i="7"/>
  <c r="N37" i="7"/>
  <c r="L34" i="7" l="1"/>
  <c r="M15" i="7"/>
  <c r="K23" i="7"/>
  <c r="I18" i="7"/>
  <c r="I29" i="7"/>
  <c r="C17" i="7"/>
  <c r="F8" i="7"/>
  <c r="F23" i="7" s="1"/>
  <c r="G6" i="5"/>
  <c r="F6" i="5"/>
  <c r="B73" i="5" l="1"/>
  <c r="B71" i="5"/>
  <c r="B70" i="5"/>
  <c r="B68" i="5"/>
  <c r="B67" i="5"/>
  <c r="B64" i="5"/>
  <c r="B60" i="5"/>
  <c r="B59" i="5"/>
  <c r="B58" i="5"/>
  <c r="B54" i="5"/>
  <c r="B53" i="5"/>
  <c r="B50" i="5"/>
  <c r="B47" i="5"/>
  <c r="B44" i="5"/>
  <c r="B34" i="5"/>
  <c r="B32" i="5"/>
  <c r="B31" i="5"/>
  <c r="B30" i="5"/>
  <c r="B28" i="5"/>
  <c r="B23" i="5"/>
  <c r="B22" i="5"/>
  <c r="B19" i="5"/>
  <c r="D73" i="5"/>
  <c r="D71" i="5"/>
  <c r="D70" i="5"/>
  <c r="D68" i="5"/>
  <c r="D67" i="5"/>
  <c r="D64" i="5"/>
  <c r="D60" i="5"/>
  <c r="D59" i="5"/>
  <c r="D58" i="5"/>
  <c r="D54" i="5"/>
  <c r="D53" i="5"/>
  <c r="D50" i="5"/>
  <c r="D47" i="5"/>
  <c r="D44" i="5"/>
  <c r="D34" i="5"/>
  <c r="D32" i="5"/>
  <c r="D31" i="5"/>
  <c r="D30" i="5"/>
  <c r="D28" i="5"/>
  <c r="D23" i="5"/>
  <c r="D22" i="5"/>
  <c r="D19" i="5"/>
  <c r="E45" i="3"/>
  <c r="H45" i="3" s="1"/>
  <c r="E42" i="3"/>
  <c r="H41" i="3"/>
  <c r="G41" i="3"/>
  <c r="G40" i="3"/>
  <c r="H40" i="3" s="1"/>
  <c r="H42" i="3" s="1"/>
  <c r="E39" i="3"/>
  <c r="G38" i="3"/>
  <c r="H38" i="3" s="1"/>
  <c r="H37" i="3"/>
  <c r="G37" i="3"/>
  <c r="H36" i="3"/>
  <c r="G36" i="3"/>
  <c r="G35" i="3"/>
  <c r="H35" i="3" s="1"/>
  <c r="G34" i="3"/>
  <c r="H34" i="3" s="1"/>
  <c r="H33" i="3"/>
  <c r="G33" i="3"/>
  <c r="H32" i="3"/>
  <c r="G32" i="3"/>
  <c r="G31" i="3"/>
  <c r="H31" i="3" s="1"/>
  <c r="G30" i="3"/>
  <c r="H30" i="3" s="1"/>
  <c r="H29" i="3"/>
  <c r="G29" i="3"/>
  <c r="H28" i="3"/>
  <c r="G28" i="3"/>
  <c r="G27" i="3"/>
  <c r="H27" i="3" s="1"/>
  <c r="G26" i="3"/>
  <c r="H26" i="3" s="1"/>
  <c r="H25" i="3"/>
  <c r="G25" i="3"/>
  <c r="H24" i="3"/>
  <c r="G24" i="3"/>
  <c r="G23" i="3"/>
  <c r="H23" i="3" s="1"/>
  <c r="G22" i="3"/>
  <c r="H22" i="3" s="1"/>
  <c r="H21" i="3"/>
  <c r="G21" i="3"/>
  <c r="H20" i="3"/>
  <c r="G20" i="3"/>
  <c r="G19" i="3"/>
  <c r="H19" i="3" s="1"/>
  <c r="G18" i="3"/>
  <c r="H18" i="3" s="1"/>
  <c r="H17" i="3"/>
  <c r="G17" i="3"/>
  <c r="H16" i="3"/>
  <c r="G16" i="3"/>
  <c r="G15" i="3"/>
  <c r="H15" i="3" s="1"/>
  <c r="G14" i="3"/>
  <c r="H14" i="3" s="1"/>
  <c r="H13" i="3"/>
  <c r="G13" i="3"/>
  <c r="H12" i="3"/>
  <c r="G12" i="3"/>
  <c r="G11" i="3"/>
  <c r="H11" i="3" s="1"/>
  <c r="G10" i="3"/>
  <c r="H10" i="3" s="1"/>
  <c r="H9" i="3"/>
  <c r="G9" i="3"/>
  <c r="H8" i="3"/>
  <c r="G8" i="3"/>
  <c r="G7" i="3"/>
  <c r="H7" i="3" s="1"/>
  <c r="C22" i="8"/>
  <c r="D46" i="5"/>
  <c r="H39" i="3" l="1"/>
  <c r="D72" i="5" l="1"/>
  <c r="B72" i="5"/>
  <c r="D62" i="5"/>
  <c r="B62" i="5"/>
  <c r="D56" i="5"/>
  <c r="B56" i="5"/>
  <c r="B46" i="5"/>
  <c r="D45" i="5"/>
  <c r="B45" i="5"/>
  <c r="D33" i="5"/>
  <c r="B33" i="5"/>
  <c r="B29" i="5"/>
  <c r="D69" i="5" l="1"/>
  <c r="B69" i="5"/>
  <c r="D51" i="5"/>
  <c r="B51" i="5"/>
  <c r="D37" i="5"/>
  <c r="B37" i="5"/>
  <c r="D35" i="5"/>
  <c r="B35" i="5"/>
  <c r="B75" i="5" l="1"/>
  <c r="B74" i="5"/>
  <c r="D75" i="5"/>
  <c r="D74" i="5"/>
  <c r="E37" i="5" l="1"/>
  <c r="F77" i="5"/>
  <c r="E74" i="5"/>
  <c r="F81" i="5"/>
  <c r="E75" i="5"/>
  <c r="F82" i="5"/>
  <c r="E73" i="5"/>
  <c r="F80" i="5"/>
  <c r="F84" i="5"/>
  <c r="F83" i="5"/>
  <c r="F78" i="5"/>
  <c r="F79" i="5"/>
  <c r="F74" i="5"/>
  <c r="F76" i="5"/>
  <c r="E66" i="5"/>
  <c r="F75" i="5"/>
  <c r="E23" i="5"/>
  <c r="E18" i="5"/>
  <c r="E31" i="5"/>
  <c r="E55" i="5"/>
  <c r="E72" i="5"/>
  <c r="E36" i="5"/>
  <c r="E57" i="5"/>
  <c r="E38" i="5"/>
  <c r="E58" i="5"/>
  <c r="E47" i="5"/>
  <c r="E68" i="5"/>
  <c r="E70" i="5"/>
  <c r="E71" i="5"/>
  <c r="E27" i="5"/>
  <c r="E32" i="5"/>
  <c r="E42" i="5"/>
  <c r="E56" i="5"/>
  <c r="E43" i="5"/>
  <c r="E44" i="5"/>
  <c r="E61" i="5"/>
  <c r="E25" i="5"/>
  <c r="E40" i="5"/>
  <c r="E26" i="5"/>
  <c r="E53" i="5"/>
  <c r="E24" i="5"/>
  <c r="E28" i="5"/>
  <c r="E39" i="5"/>
  <c r="E29" i="5"/>
  <c r="E52" i="5"/>
  <c r="E41" i="5"/>
  <c r="E54" i="5"/>
  <c r="E59" i="5"/>
  <c r="E65" i="5"/>
  <c r="E48" i="5"/>
  <c r="E69" i="5"/>
  <c r="E49" i="5"/>
  <c r="E50" i="5"/>
  <c r="E51" i="5"/>
  <c r="E67" i="5"/>
  <c r="E20" i="5"/>
  <c r="E19" i="5"/>
  <c r="E33" i="5"/>
  <c r="E64" i="5"/>
  <c r="E60" i="5"/>
  <c r="F33" i="5"/>
  <c r="E22" i="5"/>
  <c r="E35" i="5"/>
  <c r="E30" i="5"/>
  <c r="E62" i="5"/>
  <c r="E63" i="5"/>
  <c r="F71" i="5"/>
  <c r="F70" i="5"/>
  <c r="F69" i="5"/>
  <c r="F68" i="5"/>
  <c r="F67" i="5"/>
  <c r="F73" i="5"/>
  <c r="F72" i="5"/>
  <c r="D17" i="5"/>
  <c r="B17" i="5"/>
  <c r="E17" i="5" l="1"/>
  <c r="E21" i="5"/>
  <c r="F17" i="5"/>
  <c r="F38" i="5" l="1"/>
  <c r="F23" i="5" l="1"/>
  <c r="F24" i="5"/>
  <c r="F25" i="5"/>
  <c r="F57" i="5" l="1"/>
  <c r="F58" i="5"/>
  <c r="F59" i="5"/>
  <c r="F60" i="5"/>
  <c r="F61" i="5"/>
  <c r="F62" i="5"/>
  <c r="F63" i="5"/>
  <c r="F64" i="5"/>
  <c r="F65" i="5"/>
  <c r="F66" i="5"/>
  <c r="F50" i="5"/>
  <c r="F49" i="5"/>
  <c r="E34" i="5"/>
  <c r="F30" i="5"/>
  <c r="F27" i="5"/>
  <c r="F26" i="5"/>
  <c r="F22" i="5"/>
  <c r="F56" i="5"/>
  <c r="F55" i="5"/>
  <c r="F54" i="5"/>
  <c r="F53" i="5"/>
  <c r="F52" i="5"/>
  <c r="F51" i="5"/>
  <c r="F48" i="5"/>
  <c r="F47" i="5"/>
  <c r="F44" i="5"/>
  <c r="F43" i="5"/>
  <c r="F42" i="5"/>
  <c r="F41" i="5"/>
  <c r="F40" i="5"/>
  <c r="F39" i="5"/>
  <c r="F37" i="5"/>
  <c r="F36" i="5"/>
  <c r="F35" i="5"/>
  <c r="F32" i="5"/>
  <c r="F31" i="5"/>
  <c r="F29" i="5"/>
  <c r="F28" i="5"/>
  <c r="F21" i="5"/>
  <c r="F20" i="5"/>
  <c r="F19" i="5"/>
  <c r="F18" i="5"/>
  <c r="E46" i="5" l="1"/>
  <c r="E45" i="5"/>
  <c r="F34" i="5"/>
  <c r="F45" i="5"/>
  <c r="F46" i="5"/>
  <c r="P15" i="7" l="1"/>
  <c r="I3" i="7" l="1"/>
  <c r="N34" i="7" s="1"/>
  <c r="C29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Geolan1</author>
    <author>Usuario de Windows</author>
  </authors>
  <commentList>
    <comment ref="B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EN BASE SECA, Nm3/H</t>
        </r>
      </text>
    </comment>
    <comment ref="D1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EN mgC/Nm3</t>
        </r>
      </text>
    </comment>
    <comment ref="F16" authorId="1" shapeId="0" xr:uid="{00000000-0006-0000-0300-000003000000}">
      <text>
        <r>
          <rPr>
            <b/>
            <sz val="9"/>
            <color indexed="81"/>
            <rFont val="Tahoma"/>
            <family val="2"/>
          </rPr>
          <t>se calcula automaticamente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 de Windows</author>
  </authors>
  <commentList>
    <comment ref="E8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NO ENTRAN EN LA LINEA DE ESMALTADO</t>
        </r>
      </text>
    </comment>
    <comment ref="E23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DISOLVENTE PARA BARNIZADO</t>
        </r>
      </text>
    </comment>
  </commentList>
</comments>
</file>

<file path=xl/sharedStrings.xml><?xml version="1.0" encoding="utf-8"?>
<sst xmlns="http://schemas.openxmlformats.org/spreadsheetml/2006/main" count="506" uniqueCount="330">
  <si>
    <t>BALL602L30</t>
  </si>
  <si>
    <t>BDEA154024</t>
  </si>
  <si>
    <t>BEVOL7740</t>
  </si>
  <si>
    <t>BE133230</t>
  </si>
  <si>
    <t>BE138025M1</t>
  </si>
  <si>
    <t>BMT53340ED</t>
  </si>
  <si>
    <t>BMT53341EF</t>
  </si>
  <si>
    <t>BSIV59525</t>
  </si>
  <si>
    <t>B196720027</t>
  </si>
  <si>
    <t>B595M230</t>
  </si>
  <si>
    <t>DSOLUNIVER</t>
  </si>
  <si>
    <t>BARNIZ</t>
  </si>
  <si>
    <t>SUAVIZANTE</t>
  </si>
  <si>
    <t>TOTAL DISOLVENTE</t>
  </si>
  <si>
    <t>TOTAL SUAVIZANTE</t>
  </si>
  <si>
    <t>SECTOR TRATAMIENTO SUPERFICIAL</t>
  </si>
  <si>
    <t>HOJA DE CÁLCULO PARA LA APLICACIÓN DE LA GUÍA TÉCNICA PARA LA MEDICIÓN, ESTIMACIÓN Y CÁLCULO DE LAS EMISIONES AL AIRE</t>
  </si>
  <si>
    <t>CENTRO:</t>
  </si>
  <si>
    <t>FECHA INFORME:</t>
  </si>
  <si>
    <t>PERSONA DE CONTACTO:</t>
  </si>
  <si>
    <t>GURUTZE GALDOS</t>
  </si>
  <si>
    <t>POSIBILIDAD ELEGIDA</t>
  </si>
  <si>
    <t>B</t>
  </si>
  <si>
    <t>POSIBILIDAD A: Se dispone de mediciones del gas</t>
  </si>
  <si>
    <t>PM MEDIO</t>
  </si>
  <si>
    <t>Nº CARBONOS MEDIO</t>
  </si>
  <si>
    <t xml:space="preserve">CAUDAL </t>
  </si>
  <si>
    <t>DISOLVENTE KG</t>
  </si>
  <si>
    <t>F3</t>
  </si>
  <si>
    <t>F6</t>
  </si>
  <si>
    <t>F7</t>
  </si>
  <si>
    <t>F8</t>
  </si>
  <si>
    <t>F9</t>
  </si>
  <si>
    <t>F10</t>
  </si>
  <si>
    <t>F13</t>
  </si>
  <si>
    <t>F22</t>
  </si>
  <si>
    <t>F23</t>
  </si>
  <si>
    <t>F29</t>
  </si>
  <si>
    <t>F31</t>
  </si>
  <si>
    <t>F32</t>
  </si>
  <si>
    <t>F33</t>
  </si>
  <si>
    <t>F34</t>
  </si>
  <si>
    <t>F35</t>
  </si>
  <si>
    <t>F36</t>
  </si>
  <si>
    <t>F43</t>
  </si>
  <si>
    <t>F44</t>
  </si>
  <si>
    <t>F45</t>
  </si>
  <si>
    <t>F46</t>
  </si>
  <si>
    <t>F47</t>
  </si>
  <si>
    <t>F48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</si>
  <si>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</si>
  <si>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</si>
  <si>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</si>
  <si>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</si>
  <si>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</si>
  <si>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</si>
  <si>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</si>
  <si>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</si>
  <si>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</si>
  <si>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</si>
  <si>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</si>
  <si>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</si>
  <si>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F61</t>
  </si>
  <si>
    <t>F62</t>
  </si>
  <si>
    <t>F63</t>
  </si>
  <si>
    <t>Disolventes contenido en barniz</t>
  </si>
  <si>
    <t>Disolvente + suavizante</t>
  </si>
  <si>
    <t>EMISIONES DIFUSAS, SE PIERDEN ANTES DE LA ENTRADA A LA ESMALTADORA</t>
  </si>
  <si>
    <t>% difusas</t>
  </si>
  <si>
    <t xml:space="preserve">LINEAS DE ESMALTADO </t>
  </si>
  <si>
    <t>confinadas</t>
  </si>
  <si>
    <t>catalizador</t>
  </si>
  <si>
    <r>
      <rPr>
        <b/>
        <sz val="10"/>
        <rFont val="Arial"/>
        <family val="2"/>
      </rPr>
      <t>O5</t>
    </r>
    <r>
      <rPr>
        <sz val="10"/>
        <rFont val="Arial"/>
        <family val="2"/>
      </rPr>
      <t xml:space="preserve">: Destruido </t>
    </r>
  </si>
  <si>
    <r>
      <rPr>
        <b/>
        <sz val="10"/>
        <rFont val="Arial"/>
        <family val="2"/>
      </rPr>
      <t>O1</t>
    </r>
    <r>
      <rPr>
        <sz val="10"/>
        <rFont val="Arial"/>
        <family val="2"/>
      </rPr>
      <t xml:space="preserve">: Emisiones </t>
    </r>
  </si>
  <si>
    <t>ACABADO BOBINADO, NO UTILIZADOS EN LAS LINEAS DE ESMALTADO</t>
  </si>
  <si>
    <r>
      <rPr>
        <b/>
        <sz val="10"/>
        <rFont val="Arial"/>
        <family val="2"/>
      </rPr>
      <t>O6:</t>
    </r>
    <r>
      <rPr>
        <sz val="10"/>
        <rFont val="Arial"/>
        <family val="2"/>
      </rPr>
      <t xml:space="preserve"> Disolventes contendios en Residuos peligrosos</t>
    </r>
  </si>
  <si>
    <r>
      <rPr>
        <b/>
        <sz val="10"/>
        <rFont val="Arial"/>
        <family val="2"/>
      </rPr>
      <t xml:space="preserve">I1: </t>
    </r>
    <r>
      <rPr>
        <sz val="10"/>
        <rFont val="Arial"/>
        <family val="2"/>
      </rPr>
      <t>Consumo de disolventes</t>
    </r>
  </si>
  <si>
    <t>Introducir dato</t>
  </si>
  <si>
    <t>Calculo automático</t>
  </si>
  <si>
    <r>
      <rPr>
        <b/>
        <sz val="10"/>
        <rFont val="Arial"/>
        <family val="2"/>
      </rPr>
      <t>F:</t>
    </r>
    <r>
      <rPr>
        <sz val="10"/>
        <rFont val="Arial"/>
        <family val="2"/>
      </rPr>
      <t xml:space="preserve"> Total difusas</t>
    </r>
  </si>
  <si>
    <t>ENFRIAMIENTO</t>
  </si>
  <si>
    <t>BE602R-27</t>
  </si>
  <si>
    <t>BSL22534</t>
  </si>
  <si>
    <t>B19960MM36</t>
  </si>
  <si>
    <t>HORNO ESMALTE</t>
  </si>
  <si>
    <t>HORAS PRODUCCION</t>
  </si>
  <si>
    <t>DF-1</t>
  </si>
  <si>
    <t>DF-2</t>
  </si>
  <si>
    <t>DF-3</t>
  </si>
  <si>
    <t>DF-4</t>
  </si>
  <si>
    <t>VZ1</t>
  </si>
  <si>
    <t>K3-1</t>
  </si>
  <si>
    <t>K3-2</t>
  </si>
  <si>
    <t>K3-3</t>
  </si>
  <si>
    <t>MH3</t>
  </si>
  <si>
    <t>HF4-1</t>
  </si>
  <si>
    <t>K4-1</t>
  </si>
  <si>
    <t>K4-2</t>
  </si>
  <si>
    <t>K4-3</t>
  </si>
  <si>
    <t>K4-4</t>
  </si>
  <si>
    <t>KV2-1</t>
  </si>
  <si>
    <t>KV2-2</t>
  </si>
  <si>
    <t>MK-1</t>
  </si>
  <si>
    <t>MK-2</t>
  </si>
  <si>
    <t>MK-3</t>
  </si>
  <si>
    <t>MK4</t>
  </si>
  <si>
    <t>DG-1</t>
  </si>
  <si>
    <t>DG-2</t>
  </si>
  <si>
    <t>DG-3</t>
  </si>
  <si>
    <t>MN-1</t>
  </si>
  <si>
    <t>MN-2</t>
  </si>
  <si>
    <t>MN-3</t>
  </si>
  <si>
    <t>MN-4</t>
  </si>
  <si>
    <t>MO-1</t>
  </si>
  <si>
    <t>MO-2</t>
  </si>
  <si>
    <t>MO-3</t>
  </si>
  <si>
    <t>MO-4</t>
  </si>
  <si>
    <t>K3 HORNO 1</t>
  </si>
  <si>
    <t>MH3 HORNO 1</t>
  </si>
  <si>
    <t>MK</t>
  </si>
  <si>
    <t>DG (1)</t>
  </si>
  <si>
    <t>DG (2)</t>
  </si>
  <si>
    <t>MN</t>
  </si>
  <si>
    <t>MO</t>
  </si>
  <si>
    <t>EDERFIL BECKER (ALEGIA)</t>
  </si>
  <si>
    <t>F1</t>
  </si>
  <si>
    <t>F2</t>
  </si>
  <si>
    <t>F4</t>
  </si>
  <si>
    <t>F5</t>
  </si>
  <si>
    <t>F16</t>
  </si>
  <si>
    <t>VZ3,4,5, 6</t>
  </si>
  <si>
    <t>F17</t>
  </si>
  <si>
    <t>F24</t>
  </si>
  <si>
    <t>F25</t>
  </si>
  <si>
    <t xml:space="preserve"> KV2 HORNO 1</t>
  </si>
  <si>
    <t>F30</t>
  </si>
  <si>
    <t xml:space="preserve"> KV2 HORNO 2</t>
  </si>
  <si>
    <t>K4  HORNO 1 Y 2</t>
  </si>
  <si>
    <t xml:space="preserve"> K4  HORNO 3 Y 4</t>
  </si>
  <si>
    <t xml:space="preserve"> K3 HORNO 2</t>
  </si>
  <si>
    <t xml:space="preserve"> K3 HORNO 3</t>
  </si>
  <si>
    <t>F39</t>
  </si>
  <si>
    <t xml:space="preserve"> HF4 HORNO 1</t>
  </si>
  <si>
    <t>F40</t>
  </si>
  <si>
    <t xml:space="preserve"> HORNOS VZ3, VZ4, VZ5, VZ6</t>
  </si>
  <si>
    <t>F41</t>
  </si>
  <si>
    <t xml:space="preserve"> VZ1 HORNO 1</t>
  </si>
  <si>
    <t>F42</t>
  </si>
  <si>
    <t xml:space="preserve"> DF4 LINEA 1 Y 2</t>
  </si>
  <si>
    <t xml:space="preserve"> DF4 LINEA 3 Y 4</t>
  </si>
  <si>
    <t>MK-4</t>
  </si>
  <si>
    <t>Esmaltado MN-1</t>
  </si>
  <si>
    <t>Esmaltado MN-2</t>
  </si>
  <si>
    <t>Esmaltado MN-3</t>
  </si>
  <si>
    <t>Esmaltado MN -4</t>
  </si>
  <si>
    <t>Esmaltado MO -1</t>
  </si>
  <si>
    <t>Esmaltado MO -2</t>
  </si>
  <si>
    <t>Esmaltado MO -3</t>
  </si>
  <si>
    <t>Esmaltado MO -4</t>
  </si>
  <si>
    <t>Enfriamiento MN</t>
  </si>
  <si>
    <t>Enfriamiento MO</t>
  </si>
  <si>
    <t>MAQUINA</t>
  </si>
  <si>
    <t>TOTAL</t>
  </si>
  <si>
    <t>K4</t>
  </si>
  <si>
    <t>K3</t>
  </si>
  <si>
    <t>KV2</t>
  </si>
  <si>
    <t>VZ2</t>
  </si>
  <si>
    <t>VZ3</t>
  </si>
  <si>
    <t>VZ4</t>
  </si>
  <si>
    <t>VZ5</t>
  </si>
  <si>
    <t>VZ6</t>
  </si>
  <si>
    <t>DG</t>
  </si>
  <si>
    <t>HF4</t>
  </si>
  <si>
    <t xml:space="preserve">Emisión total </t>
  </si>
  <si>
    <t>DISOLVENTE</t>
  </si>
  <si>
    <t>%SOLIDOS</t>
  </si>
  <si>
    <t>% DISOLVENTE</t>
  </si>
  <si>
    <t>Kg DISOLVENTE</t>
  </si>
  <si>
    <t>BE138025VE</t>
  </si>
  <si>
    <t>BMT533FLAT</t>
  </si>
  <si>
    <t>B7318018</t>
  </si>
  <si>
    <t>DLUBL71-12</t>
  </si>
  <si>
    <t>OBSERVACIONES</t>
  </si>
  <si>
    <t>MEDICIONES 2020</t>
  </si>
  <si>
    <t>MEDICIONES 2019</t>
  </si>
  <si>
    <t>BAL602L40H</t>
  </si>
  <si>
    <t>Esmaltado DF línea 9</t>
  </si>
  <si>
    <t>Esmaltado DF línea 10</t>
  </si>
  <si>
    <t>Enfriamiento DF líneas 9 y 10</t>
  </si>
  <si>
    <t>Esmaltado DF-linea 5</t>
  </si>
  <si>
    <t>Esmaltado DF-linea 6</t>
  </si>
  <si>
    <t>Esmaltado DF-linea 7</t>
  </si>
  <si>
    <t>Esmaltado DF-linea 8</t>
  </si>
  <si>
    <t>Enfriamiento DF4-linea 5 y 6</t>
  </si>
  <si>
    <t>Enfriamiento DF4-linea 7 y 8</t>
  </si>
  <si>
    <t>DF (9,10)</t>
  </si>
  <si>
    <t>F64</t>
  </si>
  <si>
    <t>F65</t>
  </si>
  <si>
    <t>F66</t>
  </si>
  <si>
    <t>F67</t>
  </si>
  <si>
    <t>F68</t>
  </si>
  <si>
    <t>F69</t>
  </si>
  <si>
    <t>F70</t>
  </si>
  <si>
    <t>F71</t>
  </si>
  <si>
    <t>F72</t>
  </si>
  <si>
    <t>MEDICIONES 2021</t>
  </si>
  <si>
    <t>CARGA MASICA KG C</t>
  </si>
  <si>
    <t>TOTAL CARGA MASICA KG C</t>
  </si>
  <si>
    <t>CONCENTRACION COVT</t>
  </si>
  <si>
    <t>ESTIMACION FOCOS MISMA MAQUINA</t>
  </si>
  <si>
    <t>E-PRTR 2023</t>
  </si>
  <si>
    <t>MEDICIONES 2022</t>
  </si>
  <si>
    <t>CODIGO INTERNO</t>
  </si>
  <si>
    <t>NOMBRE PRODUCTO</t>
  </si>
  <si>
    <t>PEI TEREBEC MT 533-41 EF</t>
  </si>
  <si>
    <t>MT 533 - 40 ED</t>
  </si>
  <si>
    <t>PAI ALLOTHERM 602R-27</t>
  </si>
  <si>
    <t>19960 MM 36</t>
  </si>
  <si>
    <t>TERMO SCHENBOND 1540-24</t>
  </si>
  <si>
    <t>PAI ALLOTHERM 602L-40 HCT</t>
  </si>
  <si>
    <t>PAI SIVAMID 595/30 M2</t>
  </si>
  <si>
    <t>PAI ALLOTHERM 602L-30AL</t>
  </si>
  <si>
    <t>TEREBEC MT 533 FLAT</t>
  </si>
  <si>
    <t>PU155 WIRE ENAMEL 1332/30</t>
  </si>
  <si>
    <t>PU180 WIRE ENAMEL 1380/25</t>
  </si>
  <si>
    <t>TERMO 196720027</t>
  </si>
  <si>
    <t>PE TEREBEC SL 225-34</t>
  </si>
  <si>
    <t>PAI SIVAMID 595/25</t>
  </si>
  <si>
    <t xml:space="preserve"> POLI-IMIDA K-73180-18</t>
  </si>
  <si>
    <t>PEI VOLTRON 7740</t>
  </si>
  <si>
    <t>BSL22544</t>
  </si>
  <si>
    <t>PE TEREBEC SL 225-44</t>
  </si>
  <si>
    <t>BE602R-30</t>
  </si>
  <si>
    <t>ALLOTHERM 602R30</t>
  </si>
  <si>
    <t>B19902ME33</t>
  </si>
  <si>
    <t>C 220 19902-ME-33</t>
  </si>
  <si>
    <t>BVOL9127</t>
  </si>
  <si>
    <t>VOLTATEX 9127</t>
  </si>
  <si>
    <t>B199400B18</t>
  </si>
  <si>
    <t>C-240ºC 199400B18</t>
  </si>
  <si>
    <t>SUAVIZANTE L 71-12</t>
  </si>
  <si>
    <t>SOLVENTE UNIVERSAL</t>
  </si>
  <si>
    <t>Esmaltado DF línea 11</t>
  </si>
  <si>
    <t>Esmaltado DF línea 12</t>
  </si>
  <si>
    <t>Esmaltado DF línea 13</t>
  </si>
  <si>
    <t>Esmaltado DF línea 14</t>
  </si>
  <si>
    <t>Esmaltado DF línea 15</t>
  </si>
  <si>
    <t>Esmaltado DF línea 16</t>
  </si>
  <si>
    <t>Enfriamiento DF líneas 11 y 12</t>
  </si>
  <si>
    <t>Enfriamiento DF líneas 13 y 14</t>
  </si>
  <si>
    <t>Enfriamiento DF líneas 15 y 16</t>
  </si>
  <si>
    <t>F73</t>
  </si>
  <si>
    <t>F74</t>
  </si>
  <si>
    <t>F75</t>
  </si>
  <si>
    <t>F76</t>
  </si>
  <si>
    <t>F77</t>
  </si>
  <si>
    <t>F78</t>
  </si>
  <si>
    <t>F79</t>
  </si>
  <si>
    <t>F80</t>
  </si>
  <si>
    <t>F81</t>
  </si>
  <si>
    <t>VZ1, VZ2</t>
  </si>
  <si>
    <t>DF-9</t>
  </si>
  <si>
    <t>DF-10</t>
  </si>
  <si>
    <t>DF-5</t>
  </si>
  <si>
    <t>DF-6</t>
  </si>
  <si>
    <t>DF-7</t>
  </si>
  <si>
    <t>DF-8</t>
  </si>
  <si>
    <t>BVX7336A</t>
  </si>
  <si>
    <t>VX7336A</t>
  </si>
  <si>
    <t>PU180 WIRE ENAMEL 1380/25GREEN</t>
  </si>
  <si>
    <t>B316527HTS</t>
  </si>
  <si>
    <t>PEI K-73165-27HTS</t>
  </si>
  <si>
    <t>BSCH154031</t>
  </si>
  <si>
    <t>SCHENBOND 1540-31</t>
  </si>
  <si>
    <t>B602RMATT</t>
  </si>
  <si>
    <t>ALLOTHERM 602R MATT</t>
  </si>
  <si>
    <t>BSV602/13</t>
  </si>
  <si>
    <t>SIVASLIP 602/13</t>
  </si>
  <si>
    <t>DTHINEDNMP</t>
  </si>
  <si>
    <t>MEDICIONES 2023</t>
  </si>
  <si>
    <t>ESTIMACIÓN FOCO MISMA MÁQUINA 2023</t>
  </si>
  <si>
    <t>ESTIMACIÓN MEDICIONES MISMA MÁQUINA</t>
  </si>
  <si>
    <t xml:space="preserve">t de Poducción  </t>
  </si>
  <si>
    <t>Nº FOCO</t>
  </si>
  <si>
    <t>MEDICIONES 2022. SE  ELIMINA EN 2024</t>
  </si>
  <si>
    <t>MEDICIONES 2019. SE ELIMINA EN 2024</t>
  </si>
  <si>
    <t>F82</t>
  </si>
  <si>
    <t>F83</t>
  </si>
  <si>
    <t>F84</t>
  </si>
  <si>
    <t>F85</t>
  </si>
  <si>
    <t>EN MONTAJE EN 2024</t>
  </si>
  <si>
    <t>Esmaltado NHR-LINEA 1</t>
  </si>
  <si>
    <t>Esmaltado NHF-LINEA 1</t>
  </si>
  <si>
    <t>Enfriamiento NHR-LINEA 1</t>
  </si>
  <si>
    <t>Enfriamiento NHF-LINEA 1</t>
  </si>
  <si>
    <t>DADO DE BAJA EN 2024. FINALMENTE NO SE COMPRARON</t>
  </si>
  <si>
    <t>HORAS 2024</t>
  </si>
  <si>
    <t>LINEAS MAQUINA</t>
  </si>
  <si>
    <t>TOTAL  HORAS</t>
  </si>
  <si>
    <t>DF</t>
  </si>
  <si>
    <t>Total general</t>
  </si>
  <si>
    <t>HORAS</t>
  </si>
  <si>
    <t>%</t>
  </si>
  <si>
    <t>HORAS MAQUINAS VERTICALES</t>
  </si>
  <si>
    <t>HORAS MASQUINAS HORIZONTALES</t>
  </si>
  <si>
    <t>emisiones difusas %</t>
  </si>
  <si>
    <t xml:space="preserve">HORAS PRODUCCION </t>
  </si>
  <si>
    <t>ELIMINADA EN 2024</t>
  </si>
  <si>
    <t>VZ3,4,5,6</t>
  </si>
  <si>
    <t>HF4, HORNO1</t>
  </si>
  <si>
    <t xml:space="preserve"> VZ1, VZ2</t>
  </si>
  <si>
    <t>DF (5,6)</t>
  </si>
  <si>
    <t>DF (7,8)</t>
  </si>
  <si>
    <t>ALEGI  2024</t>
  </si>
  <si>
    <t xml:space="preserve">CONSUMO Kg </t>
  </si>
  <si>
    <t>BALL650</t>
  </si>
  <si>
    <t>ALLOTHERM 650</t>
  </si>
  <si>
    <t>BAL61026LV</t>
  </si>
  <si>
    <t>ALLOTHERM 610/26LV</t>
  </si>
  <si>
    <t>BI72033VRI</t>
  </si>
  <si>
    <t>C220 - PLETINA I 720/33 VRI M</t>
  </si>
  <si>
    <t>B19965OC37</t>
  </si>
  <si>
    <t>H 180 19965 C37</t>
  </si>
  <si>
    <t>B731640HPO</t>
  </si>
  <si>
    <t>K-73165-40HPO</t>
  </si>
  <si>
    <t>TOTAL BARNIZ</t>
  </si>
  <si>
    <t>D5105KE300</t>
  </si>
  <si>
    <t>SUAVIZANTE CON DES-51-05 KE-3</t>
  </si>
  <si>
    <t>DISOLVENTE THINNER DNMP</t>
  </si>
  <si>
    <t>MEDICIONES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</si>
</sst>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"/>
  </numFmts>
  <fonts count="4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0"/>
      <name val="Arial"/>
      <family val="2"/>
    </font>
    <font>
      <sz val="16"/>
      <color indexed="9"/>
      <name val="Arial"/>
      <family val="2"/>
    </font>
    <font>
      <b/>
      <sz val="16"/>
      <color indexed="9"/>
      <name val="Arial"/>
      <family val="2"/>
    </font>
    <font>
      <sz val="8"/>
      <color indexed="9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theme="0"/>
      <name val="Arial"/>
      <family val="2"/>
    </font>
    <font>
      <b/>
      <sz val="9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9"/>
      <color theme="1"/>
      <name val="Arial"/>
      <family val="2"/>
    </font>
    <font>
      <sz val="16"/>
      <color theme="1"/>
      <name val="Arial"/>
      <family val="2"/>
    </font>
    <font>
      <sz val="10"/>
      <name val="Museo Sans 300"/>
      <family val="3"/>
    </font>
    <font>
      <sz val="10"/>
      <color rgb="FFFF0000"/>
      <name val="Museo Sans 300"/>
      <family val="3"/>
    </font>
    <font>
      <sz val="9"/>
      <color rgb="FFEA0000"/>
      <name val="Arial"/>
      <family val="2"/>
    </font>
    <font>
      <b/>
      <sz val="9"/>
      <color rgb="FFFF000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name val="Times New Roman"/>
      <family val="1"/>
    </font>
    <font>
      <sz val="11"/>
      <color rgb="FF0000CC"/>
      <name val="Arial"/>
      <family val="2"/>
    </font>
    <font>
      <sz val="11"/>
      <color rgb="FF0000CC"/>
      <name val="Calibri"/>
      <family val="2"/>
      <scheme val="minor"/>
    </font>
    <font>
      <sz val="11"/>
      <color rgb="FF0000FF"/>
      <name val="Arial"/>
      <family val="2"/>
    </font>
    <font>
      <b/>
      <sz val="14"/>
      <color indexed="8"/>
      <name val="Calibri"/>
      <family val="2"/>
    </font>
    <font>
      <b/>
      <sz val="14"/>
      <color indexed="8"/>
      <name val="Calibri"/>
      <family val="2"/>
      <scheme val="minor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3" tint="0.749961851863155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57"/>
      </top>
      <bottom/>
      <diagonal/>
    </border>
    <border>
      <left/>
      <right/>
      <top style="medium">
        <color indexed="57"/>
      </top>
      <bottom/>
      <diagonal/>
    </border>
    <border>
      <left style="medium">
        <color indexed="64"/>
      </left>
      <right/>
      <top/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5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0" applyFont="1"/>
    <xf numFmtId="0" fontId="0" fillId="7" borderId="0" xfId="0" applyFill="1"/>
    <xf numFmtId="0" fontId="11" fillId="0" borderId="0" xfId="0" applyFont="1"/>
    <xf numFmtId="0" fontId="4" fillId="7" borderId="0" xfId="0" applyFont="1" applyFill="1"/>
    <xf numFmtId="0" fontId="13" fillId="13" borderId="2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0" fillId="7" borderId="0" xfId="0" applyNumberFormat="1" applyFill="1" applyAlignment="1">
      <alignment horizontal="center" vertical="center" wrapText="1"/>
    </xf>
    <xf numFmtId="4" fontId="0" fillId="7" borderId="0" xfId="0" applyNumberFormat="1" applyFill="1"/>
    <xf numFmtId="4" fontId="2" fillId="7" borderId="0" xfId="0" applyNumberFormat="1" applyFont="1" applyFill="1" applyAlignment="1">
      <alignment horizontal="center" vertical="center" wrapText="1"/>
    </xf>
    <xf numFmtId="4" fontId="2" fillId="7" borderId="0" xfId="0" applyNumberFormat="1" applyFont="1" applyFill="1" applyAlignment="1">
      <alignment horizontal="center" vertical="center"/>
    </xf>
    <xf numFmtId="4" fontId="0" fillId="9" borderId="1" xfId="0" applyNumberFormat="1" applyFill="1" applyBorder="1" applyAlignment="1">
      <alignment horizontal="center" vertical="center" wrapText="1"/>
    </xf>
    <xf numFmtId="4" fontId="2" fillId="7" borderId="10" xfId="0" applyNumberFormat="1" applyFont="1" applyFill="1" applyBorder="1" applyAlignment="1">
      <alignment horizontal="center" vertical="center" wrapText="1"/>
    </xf>
    <xf numFmtId="4" fontId="0" fillId="10" borderId="21" xfId="0" applyNumberFormat="1" applyFill="1" applyBorder="1" applyAlignment="1">
      <alignment horizontal="center" vertical="center" wrapText="1"/>
    </xf>
    <xf numFmtId="4" fontId="0" fillId="10" borderId="27" xfId="0" applyNumberFormat="1" applyFill="1" applyBorder="1" applyAlignment="1">
      <alignment horizontal="center" vertical="center" wrapText="1"/>
    </xf>
    <xf numFmtId="4" fontId="0" fillId="10" borderId="27" xfId="0" applyNumberFormat="1" applyFill="1" applyBorder="1"/>
    <xf numFmtId="4" fontId="0" fillId="10" borderId="22" xfId="0" applyNumberFormat="1" applyFill="1" applyBorder="1"/>
    <xf numFmtId="4" fontId="0" fillId="10" borderId="23" xfId="0" applyNumberFormat="1" applyFill="1" applyBorder="1" applyAlignment="1">
      <alignment horizontal="center" vertical="center" wrapText="1"/>
    </xf>
    <xf numFmtId="4" fontId="0" fillId="10" borderId="0" xfId="0" applyNumberFormat="1" applyFill="1" applyAlignment="1">
      <alignment horizontal="center" vertical="center" wrapText="1"/>
    </xf>
    <xf numFmtId="4" fontId="0" fillId="10" borderId="0" xfId="0" applyNumberFormat="1" applyFill="1"/>
    <xf numFmtId="4" fontId="0" fillId="10" borderId="24" xfId="0" applyNumberFormat="1" applyFill="1" applyBorder="1"/>
    <xf numFmtId="4" fontId="0" fillId="6" borderId="1" xfId="0" applyNumberFormat="1" applyFill="1" applyBorder="1" applyAlignment="1">
      <alignment horizontal="center" vertical="center" wrapText="1"/>
    </xf>
    <xf numFmtId="4" fontId="2" fillId="10" borderId="0" xfId="0" applyNumberFormat="1" applyFont="1" applyFill="1" applyAlignment="1">
      <alignment horizontal="center" vertical="center" wrapText="1"/>
    </xf>
    <xf numFmtId="4" fontId="1" fillId="10" borderId="0" xfId="0" applyNumberFormat="1" applyFont="1" applyFill="1" applyAlignment="1">
      <alignment vertical="center" wrapText="1"/>
    </xf>
    <xf numFmtId="4" fontId="0" fillId="10" borderId="25" xfId="0" applyNumberFormat="1" applyFill="1" applyBorder="1" applyAlignment="1">
      <alignment horizontal="center" vertical="center" wrapText="1"/>
    </xf>
    <xf numFmtId="4" fontId="0" fillId="10" borderId="28" xfId="0" applyNumberFormat="1" applyFill="1" applyBorder="1" applyAlignment="1">
      <alignment horizontal="center" vertical="center" wrapText="1"/>
    </xf>
    <xf numFmtId="4" fontId="0" fillId="10" borderId="28" xfId="0" applyNumberFormat="1" applyFill="1" applyBorder="1"/>
    <xf numFmtId="4" fontId="0" fillId="10" borderId="26" xfId="0" applyNumberFormat="1" applyFill="1" applyBorder="1"/>
    <xf numFmtId="4" fontId="17" fillId="7" borderId="0" xfId="0" applyNumberFormat="1" applyFont="1" applyFill="1"/>
    <xf numFmtId="4" fontId="4" fillId="9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4" fillId="9" borderId="1" xfId="2" applyNumberFormat="1" applyFont="1" applyFill="1" applyBorder="1" applyAlignment="1">
      <alignment horizontal="center" vertical="center"/>
    </xf>
    <xf numFmtId="164" fontId="4" fillId="9" borderId="1" xfId="2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/>
    </xf>
    <xf numFmtId="0" fontId="11" fillId="7" borderId="0" xfId="0" applyFont="1" applyFill="1"/>
    <xf numFmtId="4" fontId="11" fillId="7" borderId="0" xfId="0" applyNumberFormat="1" applyFont="1" applyFill="1" applyAlignment="1">
      <alignment horizontal="center" vertical="center" wrapText="1"/>
    </xf>
    <xf numFmtId="0" fontId="20" fillId="0" borderId="0" xfId="0" applyFont="1"/>
    <xf numFmtId="0" fontId="20" fillId="7" borderId="0" xfId="0" applyFont="1" applyFill="1"/>
    <xf numFmtId="0" fontId="24" fillId="0" borderId="0" xfId="0" applyFont="1"/>
    <xf numFmtId="4" fontId="25" fillId="0" borderId="0" xfId="0" applyNumberFormat="1" applyFont="1" applyAlignment="1">
      <alignment horizontal="center"/>
    </xf>
    <xf numFmtId="0" fontId="4" fillId="7" borderId="0" xfId="0" applyFont="1" applyFill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4" fontId="4" fillId="9" borderId="1" xfId="0" applyNumberFormat="1" applyFont="1" applyFill="1" applyBorder="1" applyAlignment="1">
      <alignment horizontal="center"/>
    </xf>
    <xf numFmtId="0" fontId="4" fillId="0" borderId="34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4" fillId="9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8" fillId="6" borderId="39" xfId="0" applyFont="1" applyFill="1" applyBorder="1" applyAlignment="1">
      <alignment horizontal="center" vertical="center" wrapText="1"/>
    </xf>
    <xf numFmtId="0" fontId="22" fillId="6" borderId="39" xfId="0" applyFont="1" applyFill="1" applyBorder="1" applyAlignment="1">
      <alignment horizontal="center" vertical="center" wrapText="1"/>
    </xf>
    <xf numFmtId="0" fontId="18" fillId="13" borderId="39" xfId="0" applyFont="1" applyFill="1" applyBorder="1" applyAlignment="1">
      <alignment horizontal="center" vertical="center" wrapText="1"/>
    </xf>
    <xf numFmtId="0" fontId="18" fillId="15" borderId="39" xfId="0" applyFont="1" applyFill="1" applyBorder="1" applyAlignment="1">
      <alignment horizontal="center" vertical="center" wrapText="1"/>
    </xf>
    <xf numFmtId="0" fontId="6" fillId="3" borderId="41" xfId="0" applyFont="1" applyFill="1" applyBorder="1"/>
    <xf numFmtId="0" fontId="6" fillId="3" borderId="42" xfId="0" applyFont="1" applyFill="1" applyBorder="1"/>
    <xf numFmtId="0" fontId="23" fillId="3" borderId="42" xfId="0" applyFont="1" applyFill="1" applyBorder="1"/>
    <xf numFmtId="0" fontId="0" fillId="3" borderId="42" xfId="0" applyFill="1" applyBorder="1"/>
    <xf numFmtId="0" fontId="7" fillId="3" borderId="42" xfId="0" applyFont="1" applyFill="1" applyBorder="1" applyAlignment="1">
      <alignment horizontal="center" vertical="center"/>
    </xf>
    <xf numFmtId="0" fontId="0" fillId="0" borderId="35" xfId="0" applyBorder="1"/>
    <xf numFmtId="0" fontId="8" fillId="3" borderId="35" xfId="0" applyFont="1" applyFill="1" applyBorder="1" applyAlignment="1">
      <alignment vertical="center"/>
    </xf>
    <xf numFmtId="0" fontId="9" fillId="3" borderId="0" xfId="0" applyFont="1" applyFill="1"/>
    <xf numFmtId="0" fontId="20" fillId="3" borderId="0" xfId="0" applyFont="1" applyFill="1"/>
    <xf numFmtId="0" fontId="0" fillId="3" borderId="0" xfId="0" applyFill="1"/>
    <xf numFmtId="0" fontId="0" fillId="13" borderId="44" xfId="0" applyFill="1" applyBorder="1"/>
    <xf numFmtId="0" fontId="0" fillId="13" borderId="45" xfId="0" applyFill="1" applyBorder="1"/>
    <xf numFmtId="0" fontId="20" fillId="13" borderId="45" xfId="0" applyFont="1" applyFill="1" applyBorder="1"/>
    <xf numFmtId="0" fontId="0" fillId="0" borderId="45" xfId="0" applyBorder="1" applyAlignment="1">
      <alignment horizontal="left"/>
    </xf>
    <xf numFmtId="0" fontId="0" fillId="13" borderId="35" xfId="0" applyFill="1" applyBorder="1"/>
    <xf numFmtId="0" fontId="0" fillId="13" borderId="0" xfId="0" applyFill="1"/>
    <xf numFmtId="0" fontId="20" fillId="13" borderId="0" xfId="0" applyFont="1" applyFill="1"/>
    <xf numFmtId="14" fontId="0" fillId="0" borderId="0" xfId="0" applyNumberFormat="1" applyAlignment="1">
      <alignment horizontal="left"/>
    </xf>
    <xf numFmtId="0" fontId="0" fillId="13" borderId="46" xfId="0" applyFill="1" applyBorder="1"/>
    <xf numFmtId="0" fontId="0" fillId="13" borderId="47" xfId="0" applyFill="1" applyBorder="1"/>
    <xf numFmtId="0" fontId="20" fillId="13" borderId="47" xfId="0" applyFont="1" applyFill="1" applyBorder="1"/>
    <xf numFmtId="0" fontId="0" fillId="0" borderId="47" xfId="0" applyBorder="1" applyAlignment="1">
      <alignment horizontal="left"/>
    </xf>
    <xf numFmtId="0" fontId="0" fillId="0" borderId="0" xfId="0" applyAlignment="1">
      <alignment horizontal="left"/>
    </xf>
    <xf numFmtId="0" fontId="0" fillId="13" borderId="35" xfId="0" applyFill="1" applyBorder="1" applyAlignment="1">
      <alignment wrapText="1"/>
    </xf>
    <xf numFmtId="0" fontId="20" fillId="4" borderId="0" xfId="0" applyFont="1" applyFill="1"/>
    <xf numFmtId="0" fontId="10" fillId="5" borderId="41" xfId="0" applyFont="1" applyFill="1" applyBorder="1"/>
    <xf numFmtId="0" fontId="9" fillId="5" borderId="42" xfId="0" applyFont="1" applyFill="1" applyBorder="1"/>
    <xf numFmtId="0" fontId="20" fillId="5" borderId="42" xfId="0" applyFont="1" applyFill="1" applyBorder="1"/>
    <xf numFmtId="0" fontId="0" fillId="5" borderId="42" xfId="0" applyFill="1" applyBorder="1"/>
    <xf numFmtId="0" fontId="0" fillId="13" borderId="41" xfId="0" applyFill="1" applyBorder="1"/>
    <xf numFmtId="0" fontId="0" fillId="13" borderId="49" xfId="0" applyFill="1" applyBorder="1"/>
    <xf numFmtId="0" fontId="4" fillId="0" borderId="49" xfId="0" applyFont="1" applyBorder="1"/>
    <xf numFmtId="0" fontId="4" fillId="0" borderId="51" xfId="0" applyFont="1" applyBorder="1"/>
    <xf numFmtId="0" fontId="19" fillId="0" borderId="51" xfId="0" applyFont="1" applyBorder="1"/>
    <xf numFmtId="0" fontId="15" fillId="0" borderId="51" xfId="0" applyFont="1" applyBorder="1" applyAlignment="1">
      <alignment horizontal="center"/>
    </xf>
    <xf numFmtId="0" fontId="26" fillId="9" borderId="1" xfId="0" applyFont="1" applyFill="1" applyBorder="1" applyAlignment="1">
      <alignment horizontal="center" vertical="center" wrapText="1"/>
    </xf>
    <xf numFmtId="0" fontId="26" fillId="7" borderId="0" xfId="0" applyFont="1" applyFill="1"/>
    <xf numFmtId="0" fontId="26" fillId="0" borderId="0" xfId="0" applyFont="1"/>
    <xf numFmtId="2" fontId="15" fillId="6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/>
    </xf>
    <xf numFmtId="0" fontId="18" fillId="13" borderId="40" xfId="0" applyFont="1" applyFill="1" applyBorder="1" applyAlignment="1">
      <alignment horizontal="center" vertical="center" wrapText="1"/>
    </xf>
    <xf numFmtId="0" fontId="0" fillId="5" borderId="43" xfId="0" applyFill="1" applyBorder="1"/>
    <xf numFmtId="0" fontId="4" fillId="16" borderId="33" xfId="0" applyFont="1" applyFill="1" applyBorder="1" applyAlignment="1">
      <alignment horizontal="center" vertical="center"/>
    </xf>
    <xf numFmtId="4" fontId="4" fillId="16" borderId="1" xfId="2" applyNumberFormat="1" applyFont="1" applyFill="1" applyBorder="1" applyAlignment="1">
      <alignment horizontal="center" vertical="center"/>
    </xf>
    <xf numFmtId="4" fontId="4" fillId="16" borderId="1" xfId="0" applyNumberFormat="1" applyFont="1" applyFill="1" applyBorder="1" applyAlignment="1">
      <alignment horizontal="center"/>
    </xf>
    <xf numFmtId="164" fontId="4" fillId="16" borderId="1" xfId="2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4" fillId="16" borderId="34" xfId="0" applyFont="1" applyFill="1" applyBorder="1" applyAlignment="1">
      <alignment horizontal="center" vertical="center"/>
    </xf>
    <xf numFmtId="4" fontId="4" fillId="16" borderId="1" xfId="0" applyNumberFormat="1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/>
    </xf>
    <xf numFmtId="4" fontId="4" fillId="9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4" fillId="16" borderId="1" xfId="0" applyNumberFormat="1" applyFont="1" applyFill="1" applyBorder="1" applyAlignment="1">
      <alignment horizontal="center" vertical="center" wrapText="1"/>
    </xf>
    <xf numFmtId="0" fontId="4" fillId="16" borderId="52" xfId="0" applyFont="1" applyFill="1" applyBorder="1" applyAlignment="1">
      <alignment horizontal="center" vertical="center"/>
    </xf>
    <xf numFmtId="4" fontId="4" fillId="16" borderId="2" xfId="0" applyNumberFormat="1" applyFont="1" applyFill="1" applyBorder="1" applyAlignment="1">
      <alignment horizontal="center"/>
    </xf>
    <xf numFmtId="4" fontId="4" fillId="16" borderId="2" xfId="0" applyNumberFormat="1" applyFont="1" applyFill="1" applyBorder="1" applyAlignment="1">
      <alignment horizontal="center" vertical="center" wrapText="1"/>
    </xf>
    <xf numFmtId="4" fontId="4" fillId="16" borderId="2" xfId="2" applyNumberFormat="1" applyFont="1" applyFill="1" applyBorder="1" applyAlignment="1">
      <alignment horizontal="center" vertical="center"/>
    </xf>
    <xf numFmtId="164" fontId="4" fillId="16" borderId="2" xfId="2" applyFont="1" applyFill="1" applyBorder="1" applyAlignment="1">
      <alignment horizontal="center" vertical="center"/>
    </xf>
    <xf numFmtId="0" fontId="4" fillId="16" borderId="2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0" fillId="17" borderId="1" xfId="0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2" fillId="11" borderId="1" xfId="0" applyNumberFormat="1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 vertical="center"/>
    </xf>
    <xf numFmtId="4" fontId="0" fillId="12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5" fontId="17" fillId="18" borderId="1" xfId="0" applyNumberFormat="1" applyFon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2" fontId="0" fillId="17" borderId="1" xfId="0" applyNumberForma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2" fontId="28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30" fillId="0" borderId="1" xfId="0" applyFont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28" fillId="16" borderId="1" xfId="0" applyFont="1" applyFill="1" applyBorder="1" applyAlignment="1">
      <alignment horizontal="center" vertical="center"/>
    </xf>
    <xf numFmtId="2" fontId="28" fillId="16" borderId="1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16" borderId="1" xfId="0" applyFont="1" applyFill="1" applyBorder="1" applyAlignment="1">
      <alignment horizontal="center" vertical="center"/>
    </xf>
    <xf numFmtId="0" fontId="33" fillId="16" borderId="1" xfId="0" applyFont="1" applyFill="1" applyBorder="1" applyAlignment="1">
      <alignment horizontal="center" vertical="center" wrapText="1"/>
    </xf>
    <xf numFmtId="0" fontId="28" fillId="0" borderId="1" xfId="0" applyFont="1" applyBorder="1"/>
    <xf numFmtId="0" fontId="28" fillId="0" borderId="1" xfId="0" applyFont="1" applyBorder="1" applyAlignment="1">
      <alignment horizontal="center" vertical="top"/>
    </xf>
    <xf numFmtId="0" fontId="32" fillId="0" borderId="1" xfId="0" applyFont="1" applyBorder="1" applyAlignment="1">
      <alignment horizontal="center" vertical="top"/>
    </xf>
    <xf numFmtId="0" fontId="35" fillId="0" borderId="1" xfId="0" applyFont="1" applyBorder="1" applyAlignment="1">
      <alignment horizontal="center" vertical="top"/>
    </xf>
    <xf numFmtId="0" fontId="36" fillId="19" borderId="2" xfId="0" applyFont="1" applyFill="1" applyBorder="1" applyAlignment="1">
      <alignment horizontal="center" vertical="center" wrapText="1"/>
    </xf>
    <xf numFmtId="0" fontId="37" fillId="19" borderId="2" xfId="0" applyFont="1" applyFill="1" applyBorder="1" applyAlignment="1">
      <alignment horizontal="center" vertical="center" wrapText="1"/>
    </xf>
    <xf numFmtId="0" fontId="37" fillId="19" borderId="1" xfId="0" applyFont="1" applyFill="1" applyBorder="1" applyAlignment="1">
      <alignment horizontal="center" vertical="center" wrapText="1"/>
    </xf>
    <xf numFmtId="0" fontId="29" fillId="0" borderId="0" xfId="0" applyFont="1"/>
    <xf numFmtId="0" fontId="21" fillId="14" borderId="37" xfId="0" applyFont="1" applyFill="1" applyBorder="1" applyAlignment="1">
      <alignment horizontal="center" vertical="center"/>
    </xf>
    <xf numFmtId="0" fontId="0" fillId="20" borderId="38" xfId="0" applyFill="1" applyBorder="1" applyAlignment="1">
      <alignment horizontal="left"/>
    </xf>
    <xf numFmtId="0" fontId="0" fillId="20" borderId="38" xfId="0" applyFill="1" applyBorder="1" applyAlignment="1">
      <alignment horizontal="center"/>
    </xf>
    <xf numFmtId="2" fontId="0" fillId="20" borderId="38" xfId="0" applyNumberFormat="1" applyFill="1" applyBorder="1" applyAlignment="1">
      <alignment horizontal="center"/>
    </xf>
    <xf numFmtId="0" fontId="2" fillId="20" borderId="31" xfId="0" applyFont="1" applyFill="1" applyBorder="1" applyAlignment="1">
      <alignment horizontal="left"/>
    </xf>
    <xf numFmtId="0" fontId="0" fillId="20" borderId="31" xfId="0" applyFill="1" applyBorder="1" applyAlignment="1">
      <alignment horizontal="center"/>
    </xf>
    <xf numFmtId="2" fontId="0" fillId="20" borderId="31" xfId="0" applyNumberFormat="1" applyFill="1" applyBorder="1" applyAlignment="1">
      <alignment horizontal="center"/>
    </xf>
    <xf numFmtId="0" fontId="0" fillId="20" borderId="31" xfId="0" applyFill="1" applyBorder="1" applyAlignment="1">
      <alignment horizontal="left"/>
    </xf>
    <xf numFmtId="0" fontId="2" fillId="20" borderId="53" xfId="0" applyFont="1" applyFill="1" applyBorder="1" applyAlignment="1">
      <alignment horizontal="left"/>
    </xf>
    <xf numFmtId="0" fontId="0" fillId="20" borderId="53" xfId="0" applyFill="1" applyBorder="1" applyAlignment="1">
      <alignment horizontal="left"/>
    </xf>
    <xf numFmtId="0" fontId="0" fillId="20" borderId="53" xfId="0" applyFill="1" applyBorder="1" applyAlignment="1">
      <alignment horizontal="center"/>
    </xf>
    <xf numFmtId="2" fontId="0" fillId="20" borderId="53" xfId="0" applyNumberFormat="1" applyFill="1" applyBorder="1" applyAlignment="1">
      <alignment horizontal="center"/>
    </xf>
    <xf numFmtId="0" fontId="38" fillId="20" borderId="36" xfId="0" applyFont="1" applyFill="1" applyBorder="1" applyAlignment="1">
      <alignment horizontal="center"/>
    </xf>
    <xf numFmtId="1" fontId="38" fillId="20" borderId="36" xfId="0" applyNumberFormat="1" applyFont="1" applyFill="1" applyBorder="1" applyAlignment="1">
      <alignment horizontal="center" vertical="center"/>
    </xf>
    <xf numFmtId="0" fontId="0" fillId="2" borderId="55" xfId="0" applyFill="1" applyBorder="1" applyAlignment="1">
      <alignment horizontal="left"/>
    </xf>
    <xf numFmtId="0" fontId="0" fillId="2" borderId="55" xfId="0" applyFill="1" applyBorder="1" applyAlignment="1">
      <alignment horizontal="center"/>
    </xf>
    <xf numFmtId="0" fontId="0" fillId="2" borderId="53" xfId="0" applyFill="1" applyBorder="1" applyAlignment="1">
      <alignment horizontal="left"/>
    </xf>
    <xf numFmtId="0" fontId="0" fillId="2" borderId="53" xfId="0" applyFill="1" applyBorder="1" applyAlignment="1">
      <alignment horizontal="center"/>
    </xf>
    <xf numFmtId="0" fontId="38" fillId="2" borderId="36" xfId="0" applyFont="1" applyFill="1" applyBorder="1" applyAlignment="1">
      <alignment horizontal="center"/>
    </xf>
    <xf numFmtId="0" fontId="20" fillId="2" borderId="36" xfId="0" applyFont="1" applyFill="1" applyBorder="1" applyAlignment="1">
      <alignment horizontal="center"/>
    </xf>
    <xf numFmtId="0" fontId="0" fillId="12" borderId="30" xfId="0" applyFill="1" applyBorder="1" applyAlignment="1">
      <alignment horizontal="left"/>
    </xf>
    <xf numFmtId="0" fontId="0" fillId="12" borderId="30" xfId="0" applyFill="1" applyBorder="1" applyAlignment="1">
      <alignment horizontal="center"/>
    </xf>
    <xf numFmtId="0" fontId="0" fillId="12" borderId="32" xfId="0" applyFill="1" applyBorder="1" applyAlignment="1">
      <alignment horizontal="left"/>
    </xf>
    <xf numFmtId="0" fontId="0" fillId="12" borderId="32" xfId="0" applyFill="1" applyBorder="1" applyAlignment="1">
      <alignment horizontal="center"/>
    </xf>
    <xf numFmtId="0" fontId="38" fillId="12" borderId="36" xfId="0" applyFont="1" applyFill="1" applyBorder="1" applyAlignment="1">
      <alignment horizontal="center"/>
    </xf>
    <xf numFmtId="1" fontId="0" fillId="0" borderId="0" xfId="0" applyNumberFormat="1"/>
    <xf numFmtId="4" fontId="2" fillId="7" borderId="0" xfId="0" applyNumberFormat="1" applyFont="1" applyFill="1" applyAlignment="1">
      <alignment horizontal="center" vertical="center" wrapText="1"/>
    </xf>
    <xf numFmtId="4" fontId="2" fillId="7" borderId="20" xfId="0" applyNumberFormat="1" applyFont="1" applyFill="1" applyBorder="1" applyAlignment="1">
      <alignment horizontal="center" vertical="center" wrapText="1"/>
    </xf>
    <xf numFmtId="0" fontId="2" fillId="4" borderId="48" xfId="0" applyFont="1" applyFill="1" applyBorder="1"/>
    <xf numFmtId="0" fontId="2" fillId="5" borderId="42" xfId="0" applyFont="1" applyFill="1" applyBorder="1"/>
    <xf numFmtId="0" fontId="2" fillId="0" borderId="43" xfId="0" applyFont="1" applyBorder="1"/>
    <xf numFmtId="0" fontId="2" fillId="0" borderId="50" xfId="0" applyFont="1" applyBorder="1"/>
    <xf numFmtId="4" fontId="15" fillId="8" borderId="1" xfId="0" applyNumberFormat="1" applyFont="1" applyFill="1" applyBorder="1" applyAlignment="1">
      <alignment horizontal="center" vertical="center"/>
    </xf>
    <xf numFmtId="0" fontId="15" fillId="13" borderId="39" xfId="0" applyFont="1" applyFill="1" applyBorder="1" applyAlignment="1">
      <alignment horizontal="center" vertical="center" wrapText="1"/>
    </xf>
    <xf numFmtId="4" fontId="2" fillId="7" borderId="0" xfId="0" applyNumberFormat="1" applyFont="1" applyFill="1"/>
    <xf numFmtId="4" fontId="2" fillId="8" borderId="1" xfId="0" applyNumberFormat="1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center" vertical="center" wrapText="1"/>
    </xf>
    <xf numFmtId="4" fontId="2" fillId="8" borderId="9" xfId="0" applyNumberFormat="1" applyFont="1" applyFill="1" applyBorder="1" applyAlignment="1">
      <alignment horizontal="center" vertical="center" wrapText="1"/>
    </xf>
    <xf numFmtId="4" fontId="2" fillId="6" borderId="11" xfId="0" applyNumberFormat="1" applyFont="1" applyFill="1" applyBorder="1" applyAlignment="1">
      <alignment horizontal="center" vertical="center" wrapText="1"/>
    </xf>
    <xf numFmtId="4" fontId="2" fillId="10" borderId="0" xfId="0" applyNumberFormat="1" applyFont="1" applyFill="1"/>
    <xf numFmtId="4" fontId="2" fillId="10" borderId="23" xfId="0" applyNumberFormat="1" applyFont="1" applyFill="1" applyBorder="1" applyAlignment="1">
      <alignment horizontal="center" vertical="center" wrapText="1"/>
    </xf>
    <xf numFmtId="4" fontId="2" fillId="10" borderId="24" xfId="0" applyNumberFormat="1" applyFont="1" applyFill="1" applyBorder="1"/>
    <xf numFmtId="0" fontId="21" fillId="20" borderId="37" xfId="0" applyFont="1" applyFill="1" applyBorder="1" applyAlignment="1">
      <alignment horizontal="center" vertical="center"/>
    </xf>
    <xf numFmtId="0" fontId="21" fillId="20" borderId="30" xfId="0" applyFont="1" applyFill="1" applyBorder="1" applyAlignment="1">
      <alignment horizontal="center" vertical="center"/>
    </xf>
    <xf numFmtId="0" fontId="21" fillId="20" borderId="54" xfId="0" applyFont="1" applyFill="1" applyBorder="1" applyAlignment="1">
      <alignment horizontal="center" vertical="center"/>
    </xf>
    <xf numFmtId="0" fontId="38" fillId="20" borderId="36" xfId="0" applyFont="1" applyFill="1" applyBorder="1" applyAlignment="1">
      <alignment horizontal="center"/>
    </xf>
    <xf numFmtId="0" fontId="21" fillId="2" borderId="37" xfId="0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horizontal="center" vertical="center"/>
    </xf>
    <xf numFmtId="0" fontId="21" fillId="2" borderId="54" xfId="0" applyFont="1" applyFill="1" applyBorder="1" applyAlignment="1">
      <alignment horizontal="center" vertical="center"/>
    </xf>
    <xf numFmtId="0" fontId="21" fillId="2" borderId="36" xfId="0" applyFont="1" applyFill="1" applyBorder="1" applyAlignment="1">
      <alignment horizontal="center"/>
    </xf>
    <xf numFmtId="0" fontId="21" fillId="12" borderId="37" xfId="0" applyFont="1" applyFill="1" applyBorder="1" applyAlignment="1">
      <alignment horizontal="center" vertical="center"/>
    </xf>
    <xf numFmtId="0" fontId="21" fillId="12" borderId="30" xfId="0" applyFont="1" applyFill="1" applyBorder="1" applyAlignment="1">
      <alignment horizontal="center" vertical="center"/>
    </xf>
    <xf numFmtId="0" fontId="21" fillId="12" borderId="54" xfId="0" applyFont="1" applyFill="1" applyBorder="1" applyAlignment="1">
      <alignment horizontal="center" vertical="center"/>
    </xf>
    <xf numFmtId="0" fontId="38" fillId="12" borderId="36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4" fontId="2" fillId="7" borderId="4" xfId="0" applyNumberFormat="1" applyFont="1" applyFill="1" applyBorder="1" applyAlignment="1">
      <alignment horizontal="center" vertical="center" wrapText="1"/>
    </xf>
    <xf numFmtId="4" fontId="2" fillId="7" borderId="8" xfId="0" applyNumberFormat="1" applyFont="1" applyFill="1" applyBorder="1" applyAlignment="1">
      <alignment horizontal="center" vertical="center" wrapText="1"/>
    </xf>
    <xf numFmtId="4" fontId="2" fillId="7" borderId="5" xfId="0" applyNumberFormat="1" applyFont="1" applyFill="1" applyBorder="1" applyAlignment="1">
      <alignment horizontal="center" vertical="center" wrapText="1"/>
    </xf>
    <xf numFmtId="4" fontId="2" fillId="7" borderId="18" xfId="0" applyNumberFormat="1" applyFont="1" applyFill="1" applyBorder="1" applyAlignment="1">
      <alignment horizontal="center" vertical="center" wrapText="1"/>
    </xf>
    <xf numFmtId="4" fontId="2" fillId="7" borderId="6" xfId="0" applyNumberFormat="1" applyFont="1" applyFill="1" applyBorder="1" applyAlignment="1">
      <alignment horizontal="center" vertical="center" wrapText="1"/>
    </xf>
    <xf numFmtId="4" fontId="2" fillId="7" borderId="19" xfId="0" applyNumberFormat="1" applyFont="1" applyFill="1" applyBorder="1" applyAlignment="1">
      <alignment horizontal="center" vertical="center" wrapText="1"/>
    </xf>
    <xf numFmtId="4" fontId="2" fillId="8" borderId="2" xfId="0" applyNumberFormat="1" applyFont="1" applyFill="1" applyBorder="1" applyAlignment="1">
      <alignment horizontal="center" vertical="center" wrapText="1"/>
    </xf>
    <xf numFmtId="4" fontId="2" fillId="8" borderId="3" xfId="0" applyNumberFormat="1" applyFont="1" applyFill="1" applyBorder="1" applyAlignment="1">
      <alignment horizontal="center" vertical="center" wrapText="1"/>
    </xf>
    <xf numFmtId="4" fontId="2" fillId="7" borderId="0" xfId="0" applyNumberFormat="1" applyFont="1" applyFill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 wrapText="1"/>
    </xf>
    <xf numFmtId="4" fontId="2" fillId="9" borderId="3" xfId="0" applyNumberFormat="1" applyFont="1" applyFill="1" applyBorder="1" applyAlignment="1">
      <alignment horizontal="center" vertical="center" wrapText="1"/>
    </xf>
    <xf numFmtId="4" fontId="2" fillId="7" borderId="12" xfId="0" applyNumberFormat="1" applyFont="1" applyFill="1" applyBorder="1" applyAlignment="1">
      <alignment horizontal="center" vertical="center" wrapText="1"/>
    </xf>
    <xf numFmtId="4" fontId="2" fillId="7" borderId="13" xfId="0" applyNumberFormat="1" applyFont="1" applyFill="1" applyBorder="1" applyAlignment="1">
      <alignment horizontal="center" vertical="center" wrapText="1"/>
    </xf>
    <xf numFmtId="4" fontId="2" fillId="7" borderId="14" xfId="0" applyNumberFormat="1" applyFont="1" applyFill="1" applyBorder="1" applyAlignment="1">
      <alignment horizontal="center" vertical="center" wrapText="1"/>
    </xf>
    <xf numFmtId="4" fontId="2" fillId="7" borderId="15" xfId="0" applyNumberFormat="1" applyFont="1" applyFill="1" applyBorder="1" applyAlignment="1">
      <alignment horizontal="center" vertical="center" wrapText="1"/>
    </xf>
    <xf numFmtId="4" fontId="2" fillId="7" borderId="16" xfId="0" applyNumberFormat="1" applyFont="1" applyFill="1" applyBorder="1" applyAlignment="1">
      <alignment horizontal="center" vertical="center" wrapText="1"/>
    </xf>
    <xf numFmtId="4" fontId="2" fillId="7" borderId="17" xfId="0" applyNumberFormat="1" applyFont="1" applyFill="1" applyBorder="1" applyAlignment="1">
      <alignment horizontal="center" vertical="center" wrapText="1"/>
    </xf>
    <xf numFmtId="4" fontId="2" fillId="7" borderId="7" xfId="0" applyNumberFormat="1" applyFont="1" applyFill="1" applyBorder="1" applyAlignment="1">
      <alignment horizontal="center" vertical="center" wrapText="1"/>
    </xf>
    <xf numFmtId="4" fontId="2" fillId="7" borderId="20" xfId="0" applyNumberFormat="1" applyFont="1" applyFill="1" applyBorder="1" applyAlignment="1">
      <alignment horizontal="center" vertical="center" wrapText="1"/>
    </xf>
    <xf numFmtId="4" fontId="39" fillId="8" borderId="2" xfId="0" applyNumberFormat="1" applyFont="1" applyFill="1" applyBorder="1" applyAlignment="1">
      <alignment horizontal="center" vertical="center" wrapText="1"/>
    </xf>
    <xf numFmtId="4" fontId="39" fillId="8" borderId="3" xfId="0" applyNumberFormat="1" applyFont="1" applyFill="1" applyBorder="1" applyAlignment="1">
      <alignment horizontal="center" vertical="center" wrapText="1"/>
    </xf>
    <xf numFmtId="4" fontId="1" fillId="8" borderId="2" xfId="0" applyNumberFormat="1" applyFont="1" applyFill="1" applyBorder="1" applyAlignment="1">
      <alignment horizontal="center" vertical="center" wrapText="1"/>
    </xf>
    <xf numFmtId="4" fontId="1" fillId="8" borderId="3" xfId="0" applyNumberFormat="1" applyFont="1" applyFill="1" applyBorder="1" applyAlignment="1">
      <alignment horizontal="center" vertical="center" wrapText="1"/>
    </xf>
    <xf numFmtId="4" fontId="40" fillId="10" borderId="2" xfId="0" applyNumberFormat="1" applyFont="1" applyFill="1" applyBorder="1" applyAlignment="1">
      <alignment horizontal="center" vertical="center"/>
    </xf>
    <xf numFmtId="4" fontId="40" fillId="10" borderId="29" xfId="0" applyNumberFormat="1" applyFont="1" applyFill="1" applyBorder="1" applyAlignment="1">
      <alignment horizontal="center" vertical="center"/>
    </xf>
    <xf numFmtId="4" fontId="40" fillId="10" borderId="3" xfId="0" applyNumberFormat="1" applyFont="1" applyFill="1" applyBorder="1" applyAlignment="1">
      <alignment horizontal="center" vertical="center"/>
    </xf>
    <xf numFmtId="4" fontId="2" fillId="7" borderId="24" xfId="0" applyNumberFormat="1" applyFont="1" applyFill="1" applyBorder="1" applyAlignment="1">
      <alignment horizontal="center" vertical="center" wrapText="1"/>
    </xf>
    <xf numFmtId="4" fontId="2" fillId="7" borderId="23" xfId="0" applyNumberFormat="1" applyFont="1" applyFill="1" applyBorder="1" applyAlignment="1">
      <alignment horizontal="center" vertical="center" wrapText="1"/>
    </xf>
    <xf numFmtId="4" fontId="0" fillId="7" borderId="0" xfId="0" applyNumberFormat="1" applyFill="1" applyAlignment="1">
      <alignment horizontal="center" vertical="center" wrapText="1"/>
    </xf>
    <xf numFmtId="4" fontId="2" fillId="8" borderId="2" xfId="0" applyNumberFormat="1" applyFont="1" applyFill="1" applyBorder="1" applyAlignment="1">
      <alignment horizontal="center" vertical="center"/>
    </xf>
    <xf numFmtId="4" fontId="2" fillId="8" borderId="3" xfId="0" applyNumberFormat="1" applyFont="1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EA0000"/>
      <color rgb="FFEAE8E1"/>
      <color rgb="FFFFFFCC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121920</xdr:rowOff>
    </xdr:from>
    <xdr:to>
      <xdr:col>2</xdr:col>
      <xdr:colOff>0</xdr:colOff>
      <xdr:row>1</xdr:row>
      <xdr:rowOff>167640</xdr:rowOff>
    </xdr:to>
    <xdr:pic>
      <xdr:nvPicPr>
        <xdr:cNvPr id="3" name="Imagen 1" descr="Un dibujo con letras&#10;&#10;Descripción generada automáticamente con confianza baja">
          <a:extLst>
            <a:ext uri="{FF2B5EF4-FFF2-40B4-BE49-F238E27FC236}">
              <a16:creationId xmlns:a16="http://schemas.microsoft.com/office/drawing/2014/main" id="{5947FA2E-0F41-4FE4-BD93-50AA95723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9320" y="121920"/>
          <a:ext cx="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1</xdr:col>
      <xdr:colOff>632460</xdr:colOff>
      <xdr:row>4</xdr:row>
      <xdr:rowOff>22860</xdr:rowOff>
    </xdr:to>
    <xdr:pic>
      <xdr:nvPicPr>
        <xdr:cNvPr id="4" name="Imagen 1" descr="Un dibujo con letras&#10;&#10;Descripción generada automáticamente con confianza baja">
          <a:extLst>
            <a:ext uri="{FF2B5EF4-FFF2-40B4-BE49-F238E27FC236}">
              <a16:creationId xmlns:a16="http://schemas.microsoft.com/office/drawing/2014/main" id="{868902E8-4CD0-4010-8806-6650F9068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5280"/>
          <a:ext cx="1424940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428625</xdr:colOff>
      <xdr:row>0</xdr:row>
      <xdr:rowOff>0</xdr:rowOff>
    </xdr:from>
    <xdr:to>
      <xdr:col>7</xdr:col>
      <xdr:colOff>1190625</xdr:colOff>
      <xdr:row>1</xdr:row>
      <xdr:rowOff>19050</xdr:rowOff>
    </xdr:to>
    <xdr:pic>
      <xdr:nvPicPr>
        <xdr:cNvPr id="2" name="Picture 18" descr="Logo E-PRTR hecho por mí 20030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9463"/>
        <a:stretch>
          <a:fillRect/>
        </a:stretch>
      </xdr:blipFill>
      <xdr:spPr bwMode="auto">
        <a:xfrm>
          <a:off x="7058025" y="0"/>
          <a:ext cx="14001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762000</xdr:colOff>
      <xdr:row>1</xdr:row>
      <xdr:rowOff>19050</xdr:rowOff>
    </xdr:to>
    <xdr:pic>
      <xdr:nvPicPr>
        <xdr:cNvPr id="3" name="Picture 18" descr="Logo E-PRTR hecho por mí 20030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9463"/>
        <a:stretch>
          <a:fillRect/>
        </a:stretch>
      </xdr:blipFill>
      <xdr:spPr bwMode="auto">
        <a:xfrm>
          <a:off x="5753100" y="0"/>
          <a:ext cx="7620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4</xdr:col>
      <xdr:colOff>952500</xdr:colOff>
      <xdr:row>13</xdr:row>
      <xdr:rowOff>142876</xdr:rowOff>
    </xdr:to>
    <xdr:cxnSp macro="">
      <xdr:nvCxnSpPr>
        <xdr:cNvPr id="3" name="2 Conector recto de flecha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 flipV="1">
          <a:off x="2286000" y="1562100"/>
          <a:ext cx="1476375" cy="192405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13</xdr:row>
      <xdr:rowOff>238125</xdr:rowOff>
    </xdr:from>
    <xdr:to>
      <xdr:col>5</xdr:col>
      <xdr:colOff>19050</xdr:colOff>
      <xdr:row>22</xdr:row>
      <xdr:rowOff>38100</xdr:rowOff>
    </xdr:to>
    <xdr:cxnSp macro="">
      <xdr:nvCxnSpPr>
        <xdr:cNvPr id="5" name="4 Conector recto de flecha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CxnSpPr/>
      </xdr:nvCxnSpPr>
      <xdr:spPr>
        <a:xfrm>
          <a:off x="2286000" y="3314700"/>
          <a:ext cx="1504950" cy="2095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762000</xdr:colOff>
      <xdr:row>22</xdr:row>
      <xdr:rowOff>238125</xdr:rowOff>
    </xdr:from>
    <xdr:to>
      <xdr:col>6</xdr:col>
      <xdr:colOff>762000</xdr:colOff>
      <xdr:row>22</xdr:row>
      <xdr:rowOff>238125</xdr:rowOff>
    </xdr:to>
    <xdr:cxnSp macro="">
      <xdr:nvCxnSpPr>
        <xdr:cNvPr id="13" name="12 Conector recto de flecha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CxnSpPr/>
      </xdr:nvCxnSpPr>
      <xdr:spPr>
        <a:xfrm>
          <a:off x="4534958" y="5937250"/>
          <a:ext cx="7620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7940</xdr:colOff>
      <xdr:row>1</xdr:row>
      <xdr:rowOff>104320</xdr:rowOff>
    </xdr:from>
    <xdr:to>
      <xdr:col>9</xdr:col>
      <xdr:colOff>603253</xdr:colOff>
      <xdr:row>7</xdr:row>
      <xdr:rowOff>48755</xdr:rowOff>
    </xdr:to>
    <xdr:sp macro="" textlink="">
      <xdr:nvSpPr>
        <xdr:cNvPr id="14" name="13 Flecha curvada hacia arriba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 rot="16200000">
          <a:off x="6667505" y="438827"/>
          <a:ext cx="937756" cy="595313"/>
        </a:xfrm>
        <a:prstGeom prst="curved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9525</xdr:colOff>
      <xdr:row>22</xdr:row>
      <xdr:rowOff>235618</xdr:rowOff>
    </xdr:from>
    <xdr:to>
      <xdr:col>10</xdr:col>
      <xdr:colOff>0</xdr:colOff>
      <xdr:row>22</xdr:row>
      <xdr:rowOff>238126</xdr:rowOff>
    </xdr:to>
    <xdr:cxnSp macro="">
      <xdr:nvCxnSpPr>
        <xdr:cNvPr id="18" name="17 Conector recto de flecha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CxnSpPr/>
      </xdr:nvCxnSpPr>
      <xdr:spPr>
        <a:xfrm flipV="1">
          <a:off x="6832433" y="5845342"/>
          <a:ext cx="752475" cy="250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381000</xdr:colOff>
      <xdr:row>23</xdr:row>
      <xdr:rowOff>148317</xdr:rowOff>
    </xdr:from>
    <xdr:to>
      <xdr:col>8</xdr:col>
      <xdr:colOff>386013</xdr:colOff>
      <xdr:row>27</xdr:row>
      <xdr:rowOff>154691</xdr:rowOff>
    </xdr:to>
    <xdr:cxnSp macro="">
      <xdr:nvCxnSpPr>
        <xdr:cNvPr id="20" name="19 Conector recto de flecha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CxnSpPr/>
      </xdr:nvCxnSpPr>
      <xdr:spPr>
        <a:xfrm>
          <a:off x="6449786" y="6339567"/>
          <a:ext cx="5013" cy="673124"/>
        </a:xfrm>
        <a:prstGeom prst="straightConnector1">
          <a:avLst/>
        </a:prstGeom>
        <a:ln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16</xdr:row>
      <xdr:rowOff>20053</xdr:rowOff>
    </xdr:from>
    <xdr:to>
      <xdr:col>15</xdr:col>
      <xdr:colOff>516355</xdr:colOff>
      <xdr:row>22</xdr:row>
      <xdr:rowOff>70183</xdr:rowOff>
    </xdr:to>
    <xdr:sp macro="" textlink="">
      <xdr:nvSpPr>
        <xdr:cNvPr id="26" name="25 Flecha doblada hacia arriba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/>
      </xdr:nvSpPr>
      <xdr:spPr>
        <a:xfrm>
          <a:off x="11394908" y="4496803"/>
          <a:ext cx="516355" cy="1183104"/>
        </a:xfrm>
        <a:prstGeom prst="bent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12</xdr:col>
      <xdr:colOff>309569</xdr:colOff>
      <xdr:row>16</xdr:row>
      <xdr:rowOff>38099</xdr:rowOff>
    </xdr:from>
    <xdr:to>
      <xdr:col>12</xdr:col>
      <xdr:colOff>581030</xdr:colOff>
      <xdr:row>20</xdr:row>
      <xdr:rowOff>171448</xdr:rowOff>
    </xdr:to>
    <xdr:sp macro="" textlink="">
      <xdr:nvSpPr>
        <xdr:cNvPr id="27" name="26 Flecha a la derecha con bandas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/>
      </xdr:nvSpPr>
      <xdr:spPr>
        <a:xfrm rot="16200000">
          <a:off x="9079713" y="4879180"/>
          <a:ext cx="942974" cy="271461"/>
        </a:xfrm>
        <a:prstGeom prst="stripedRightArrow">
          <a:avLst>
            <a:gd name="adj1" fmla="val 35965"/>
            <a:gd name="adj2" fmla="val 74561"/>
          </a:avLst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11</xdr:col>
      <xdr:colOff>6350</xdr:colOff>
      <xdr:row>22</xdr:row>
      <xdr:rowOff>228600</xdr:rowOff>
    </xdr:from>
    <xdr:to>
      <xdr:col>12</xdr:col>
      <xdr:colOff>0</xdr:colOff>
      <xdr:row>22</xdr:row>
      <xdr:rowOff>228600</xdr:rowOff>
    </xdr:to>
    <xdr:cxnSp macro="">
      <xdr:nvCxnSpPr>
        <xdr:cNvPr id="32" name="31 Conector recto de flecha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CxnSpPr/>
      </xdr:nvCxnSpPr>
      <xdr:spPr>
        <a:xfrm>
          <a:off x="8356600" y="5969000"/>
          <a:ext cx="8890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</xdr:row>
      <xdr:rowOff>204107</xdr:rowOff>
    </xdr:from>
    <xdr:to>
      <xdr:col>7</xdr:col>
      <xdr:colOff>13607</xdr:colOff>
      <xdr:row>7</xdr:row>
      <xdr:rowOff>204107</xdr:rowOff>
    </xdr:to>
    <xdr:cxnSp macro="">
      <xdr:nvCxnSpPr>
        <xdr:cNvPr id="34" name="33 Conector recto de flecha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CxnSpPr/>
      </xdr:nvCxnSpPr>
      <xdr:spPr>
        <a:xfrm>
          <a:off x="4544786" y="1347107"/>
          <a:ext cx="775607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760112</xdr:colOff>
      <xdr:row>17</xdr:row>
      <xdr:rowOff>0</xdr:rowOff>
    </xdr:from>
    <xdr:to>
      <xdr:col>9</xdr:col>
      <xdr:colOff>593425</xdr:colOff>
      <xdr:row>22</xdr:row>
      <xdr:rowOff>82773</xdr:rowOff>
    </xdr:to>
    <xdr:sp macro="" textlink="">
      <xdr:nvSpPr>
        <xdr:cNvPr id="35" name="34 Flecha curvada hacia arriba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/>
      </xdr:nvSpPr>
      <xdr:spPr>
        <a:xfrm rot="16200000">
          <a:off x="6657677" y="5044845"/>
          <a:ext cx="937756" cy="595313"/>
        </a:xfrm>
        <a:prstGeom prst="curved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314664</xdr:colOff>
      <xdr:row>5</xdr:row>
      <xdr:rowOff>13606</xdr:rowOff>
    </xdr:from>
    <xdr:to>
      <xdr:col>15</xdr:col>
      <xdr:colOff>30616</xdr:colOff>
      <xdr:row>8</xdr:row>
      <xdr:rowOff>13607</xdr:rowOff>
    </xdr:to>
    <xdr:sp macro="" textlink="">
      <xdr:nvSpPr>
        <xdr:cNvPr id="36" name="35 Disco magnético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/>
      </xdr:nvSpPr>
      <xdr:spPr>
        <a:xfrm>
          <a:off x="11494633" y="847044"/>
          <a:ext cx="585108" cy="773907"/>
        </a:xfrm>
        <a:prstGeom prst="flowChartMagneticDisk">
          <a:avLst/>
        </a:prstGeom>
        <a:solidFill>
          <a:srgbClr val="FF00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13</xdr:col>
      <xdr:colOff>13607</xdr:colOff>
      <xdr:row>7</xdr:row>
      <xdr:rowOff>217714</xdr:rowOff>
    </xdr:from>
    <xdr:to>
      <xdr:col>14</xdr:col>
      <xdr:colOff>136072</xdr:colOff>
      <xdr:row>7</xdr:row>
      <xdr:rowOff>217714</xdr:rowOff>
    </xdr:to>
    <xdr:cxnSp macro="">
      <xdr:nvCxnSpPr>
        <xdr:cNvPr id="38" name="37 Conector recto de flecha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CxnSpPr/>
      </xdr:nvCxnSpPr>
      <xdr:spPr>
        <a:xfrm>
          <a:off x="10028464" y="1374321"/>
          <a:ext cx="88446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13609</xdr:colOff>
      <xdr:row>33</xdr:row>
      <xdr:rowOff>68039</xdr:rowOff>
    </xdr:from>
    <xdr:to>
      <xdr:col>12</xdr:col>
      <xdr:colOff>608922</xdr:colOff>
      <xdr:row>38</xdr:row>
      <xdr:rowOff>231321</xdr:rowOff>
    </xdr:to>
    <xdr:sp macro="" textlink="">
      <xdr:nvSpPr>
        <xdr:cNvPr id="39" name="38 Flecha curvada hacia arriba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/>
      </xdr:nvSpPr>
      <xdr:spPr>
        <a:xfrm rot="16200000">
          <a:off x="9067464" y="6662398"/>
          <a:ext cx="993318" cy="595313"/>
        </a:xfrm>
        <a:prstGeom prst="curved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32944</xdr:colOff>
      <xdr:row>32</xdr:row>
      <xdr:rowOff>156125</xdr:rowOff>
    </xdr:from>
    <xdr:to>
      <xdr:col>14</xdr:col>
      <xdr:colOff>549299</xdr:colOff>
      <xdr:row>38</xdr:row>
      <xdr:rowOff>247077</xdr:rowOff>
    </xdr:to>
    <xdr:sp macro="" textlink="">
      <xdr:nvSpPr>
        <xdr:cNvPr id="40" name="39 Flecha doblada hacia arriba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/>
      </xdr:nvSpPr>
      <xdr:spPr>
        <a:xfrm>
          <a:off x="10973087" y="6429018"/>
          <a:ext cx="516355" cy="1084273"/>
        </a:xfrm>
        <a:prstGeom prst="bent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15</xdr:col>
      <xdr:colOff>27213</xdr:colOff>
      <xdr:row>35</xdr:row>
      <xdr:rowOff>40821</xdr:rowOff>
    </xdr:from>
    <xdr:to>
      <xdr:col>16</xdr:col>
      <xdr:colOff>707570</xdr:colOff>
      <xdr:row>38</xdr:row>
      <xdr:rowOff>13607</xdr:rowOff>
    </xdr:to>
    <xdr:sp macro="" textlink="">
      <xdr:nvSpPr>
        <xdr:cNvPr id="41" name="40 Flecha a la derecha con bandas"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SpPr/>
      </xdr:nvSpPr>
      <xdr:spPr>
        <a:xfrm>
          <a:off x="11838213" y="6803571"/>
          <a:ext cx="1442357" cy="476250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200" b="1">
              <a:latin typeface="Arial" pitchFamily="34" charset="0"/>
              <a:cs typeface="Arial" pitchFamily="34" charset="0"/>
            </a:rPr>
            <a:t>Emisión gr/kg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Sistemak-Sistemas\Mis%20documentos\SOSTENIBILIDAD\Huella%20carbono\HC%20EDERFIL%20BECKER\2024\Emisiones%20de%20proceso\Emisiones%20de%20proceso%20Aleg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illa_EDERFIL ALEGI_2024_02"/>
      <sheetName val="Hoja1"/>
    </sheetNames>
    <sheetDataSet>
      <sheetData sheetId="0"/>
      <sheetData sheetId="1">
        <row r="4">
          <cell r="B4" t="str">
            <v>Nº FOCO</v>
          </cell>
          <cell r="F4" t="str">
            <v>CONCENTRACION COVT</v>
          </cell>
          <cell r="G4" t="str">
            <v>CAUDAL</v>
          </cell>
        </row>
        <row r="5">
          <cell r="B5" t="str">
            <v>F3</v>
          </cell>
          <cell r="F5">
            <v>52.033333333333331</v>
          </cell>
          <cell r="G5">
            <v>90.666666666666671</v>
          </cell>
        </row>
        <row r="6">
          <cell r="B6" t="str">
            <v>F6</v>
          </cell>
          <cell r="F6">
            <v>21.133333333333333</v>
          </cell>
          <cell r="G6">
            <v>95</v>
          </cell>
        </row>
        <row r="7">
          <cell r="B7" t="str">
            <v>F7</v>
          </cell>
          <cell r="F7">
            <v>18.633333333333333</v>
          </cell>
          <cell r="G7">
            <v>97.333333333333329</v>
          </cell>
        </row>
        <row r="8">
          <cell r="B8" t="str">
            <v>F22</v>
          </cell>
          <cell r="F8">
            <v>17.366666666666667</v>
          </cell>
          <cell r="G8">
            <v>168.33333333333334</v>
          </cell>
        </row>
        <row r="9">
          <cell r="B9" t="str">
            <v>F29</v>
          </cell>
          <cell r="F9">
            <v>7.3666666666666671</v>
          </cell>
          <cell r="G9">
            <v>461</v>
          </cell>
        </row>
        <row r="10">
          <cell r="B10" t="str">
            <v>F41</v>
          </cell>
          <cell r="F10">
            <v>7.166666666666667</v>
          </cell>
          <cell r="G10">
            <v>2992.6666666666665</v>
          </cell>
        </row>
        <row r="11">
          <cell r="B11" t="str">
            <v>F47</v>
          </cell>
          <cell r="F11">
            <v>5</v>
          </cell>
          <cell r="G11">
            <v>81.333333333333329</v>
          </cell>
        </row>
        <row r="12">
          <cell r="B12" t="str">
            <v>F51</v>
          </cell>
          <cell r="F12">
            <v>17</v>
          </cell>
          <cell r="G12">
            <v>173.66666666666666</v>
          </cell>
        </row>
        <row r="13">
          <cell r="B13" t="str">
            <v>F56</v>
          </cell>
          <cell r="F13">
            <v>18.266666666666666</v>
          </cell>
          <cell r="G13">
            <v>133</v>
          </cell>
        </row>
        <row r="14">
          <cell r="B14" t="str">
            <v>F57</v>
          </cell>
          <cell r="F14">
            <v>11.533333333333333</v>
          </cell>
          <cell r="G14">
            <v>127</v>
          </cell>
        </row>
        <row r="15">
          <cell r="B15" t="str">
            <v>F61</v>
          </cell>
          <cell r="F15">
            <v>7</v>
          </cell>
          <cell r="G15">
            <v>117.33333333333333</v>
          </cell>
        </row>
        <row r="16">
          <cell r="B16" t="str">
            <v>F64</v>
          </cell>
          <cell r="F16">
            <v>5.5333333333333341</v>
          </cell>
          <cell r="G16">
            <v>338.33333333333331</v>
          </cell>
        </row>
        <row r="17">
          <cell r="B17" t="str">
            <v>F65</v>
          </cell>
          <cell r="F17">
            <v>6.3666666666666671</v>
          </cell>
          <cell r="G17">
            <v>342</v>
          </cell>
        </row>
        <row r="18">
          <cell r="B18" t="str">
            <v>F68</v>
          </cell>
          <cell r="F18">
            <v>5.3666666666666671</v>
          </cell>
          <cell r="G18">
            <v>351</v>
          </cell>
        </row>
        <row r="19">
          <cell r="B19" t="str">
            <v>F70</v>
          </cell>
          <cell r="F19">
            <v>15.566666666666668</v>
          </cell>
          <cell r="G19">
            <v>206.33333333333334</v>
          </cell>
        </row>
        <row r="20">
          <cell r="B20" t="str">
            <v>F16</v>
          </cell>
          <cell r="F20">
            <v>19.7</v>
          </cell>
          <cell r="G20">
            <v>1257</v>
          </cell>
        </row>
        <row r="21">
          <cell r="B21" t="str">
            <v>F23</v>
          </cell>
          <cell r="F21">
            <v>60.1</v>
          </cell>
          <cell r="G21">
            <v>182</v>
          </cell>
        </row>
        <row r="22">
          <cell r="B22" t="str">
            <v>F24</v>
          </cell>
          <cell r="F22">
            <v>14</v>
          </cell>
          <cell r="G22">
            <v>215</v>
          </cell>
        </row>
        <row r="23">
          <cell r="B23" t="str">
            <v>F44</v>
          </cell>
          <cell r="F23">
            <v>9.5</v>
          </cell>
          <cell r="G23">
            <v>78</v>
          </cell>
        </row>
        <row r="24">
          <cell r="B24" t="str">
            <v>F50</v>
          </cell>
          <cell r="F24">
            <v>66.8</v>
          </cell>
          <cell r="G24">
            <v>173</v>
          </cell>
        </row>
        <row r="25">
          <cell r="B25" t="str">
            <v>F55</v>
          </cell>
          <cell r="F25">
            <v>5</v>
          </cell>
          <cell r="G25">
            <v>128</v>
          </cell>
        </row>
        <row r="26">
          <cell r="B26" t="str">
            <v>F67</v>
          </cell>
          <cell r="F26">
            <v>5</v>
          </cell>
          <cell r="G26">
            <v>343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4:H48"/>
  <sheetViews>
    <sheetView showGridLines="0" topLeftCell="C7" workbookViewId="0">
      <selection activeCell="H45" activeCellId="1" sqref="H42 H45"/>
    </sheetView>
  </sheetViews>
  <sheetFormatPr baseColWidth="10" defaultRowHeight="12.75" x14ac:dyDescent="0.2"/>
  <cols>
    <col min="2" max="2" width="20.28515625" customWidth="1"/>
    <col min="3" max="3" width="29.28515625" customWidth="1"/>
    <col min="4" max="4" width="32.28515625" customWidth="1"/>
    <col min="5" max="5" width="29.7109375" style="8" customWidth="1"/>
    <col min="6" max="6" width="20" style="8" customWidth="1"/>
    <col min="7" max="7" width="22.42578125" style="8" customWidth="1"/>
    <col min="8" max="8" width="28.28515625" style="8" customWidth="1"/>
    <col min="258" max="258" width="20.28515625" customWidth="1"/>
    <col min="259" max="259" width="29.28515625" customWidth="1"/>
    <col min="260" max="260" width="32.28515625" customWidth="1"/>
    <col min="261" max="261" width="29.7109375" customWidth="1"/>
    <col min="262" max="262" width="20" customWidth="1"/>
    <col min="263" max="263" width="22.42578125" customWidth="1"/>
    <col min="264" max="264" width="28.28515625" customWidth="1"/>
    <col min="514" max="514" width="20.28515625" customWidth="1"/>
    <col min="515" max="515" width="29.28515625" customWidth="1"/>
    <col min="516" max="516" width="32.28515625" customWidth="1"/>
    <col min="517" max="517" width="29.7109375" customWidth="1"/>
    <col min="518" max="518" width="20" customWidth="1"/>
    <col min="519" max="519" width="22.42578125" customWidth="1"/>
    <col min="520" max="520" width="28.28515625" customWidth="1"/>
    <col min="770" max="770" width="20.28515625" customWidth="1"/>
    <col min="771" max="771" width="29.28515625" customWidth="1"/>
    <col min="772" max="772" width="32.28515625" customWidth="1"/>
    <col min="773" max="773" width="29.7109375" customWidth="1"/>
    <col min="774" max="774" width="20" customWidth="1"/>
    <col min="775" max="775" width="22.42578125" customWidth="1"/>
    <col min="776" max="776" width="28.28515625" customWidth="1"/>
    <col min="1026" max="1026" width="20.28515625" customWidth="1"/>
    <col min="1027" max="1027" width="29.28515625" customWidth="1"/>
    <col min="1028" max="1028" width="32.28515625" customWidth="1"/>
    <col min="1029" max="1029" width="29.7109375" customWidth="1"/>
    <col min="1030" max="1030" width="20" customWidth="1"/>
    <col min="1031" max="1031" width="22.42578125" customWidth="1"/>
    <col min="1032" max="1032" width="28.28515625" customWidth="1"/>
    <col min="1282" max="1282" width="20.28515625" customWidth="1"/>
    <col min="1283" max="1283" width="29.28515625" customWidth="1"/>
    <col min="1284" max="1284" width="32.28515625" customWidth="1"/>
    <col min="1285" max="1285" width="29.7109375" customWidth="1"/>
    <col min="1286" max="1286" width="20" customWidth="1"/>
    <col min="1287" max="1287" width="22.42578125" customWidth="1"/>
    <col min="1288" max="1288" width="28.28515625" customWidth="1"/>
    <col min="1538" max="1538" width="20.28515625" customWidth="1"/>
    <col min="1539" max="1539" width="29.28515625" customWidth="1"/>
    <col min="1540" max="1540" width="32.28515625" customWidth="1"/>
    <col min="1541" max="1541" width="29.7109375" customWidth="1"/>
    <col min="1542" max="1542" width="20" customWidth="1"/>
    <col min="1543" max="1543" width="22.42578125" customWidth="1"/>
    <col min="1544" max="1544" width="28.28515625" customWidth="1"/>
    <col min="1794" max="1794" width="20.28515625" customWidth="1"/>
    <col min="1795" max="1795" width="29.28515625" customWidth="1"/>
    <col min="1796" max="1796" width="32.28515625" customWidth="1"/>
    <col min="1797" max="1797" width="29.7109375" customWidth="1"/>
    <col min="1798" max="1798" width="20" customWidth="1"/>
    <col min="1799" max="1799" width="22.42578125" customWidth="1"/>
    <col min="1800" max="1800" width="28.28515625" customWidth="1"/>
    <col min="2050" max="2050" width="20.28515625" customWidth="1"/>
    <col min="2051" max="2051" width="29.28515625" customWidth="1"/>
    <col min="2052" max="2052" width="32.28515625" customWidth="1"/>
    <col min="2053" max="2053" width="29.7109375" customWidth="1"/>
    <col min="2054" max="2054" width="20" customWidth="1"/>
    <col min="2055" max="2055" width="22.42578125" customWidth="1"/>
    <col min="2056" max="2056" width="28.28515625" customWidth="1"/>
    <col min="2306" max="2306" width="20.28515625" customWidth="1"/>
    <col min="2307" max="2307" width="29.28515625" customWidth="1"/>
    <col min="2308" max="2308" width="32.28515625" customWidth="1"/>
    <col min="2309" max="2309" width="29.7109375" customWidth="1"/>
    <col min="2310" max="2310" width="20" customWidth="1"/>
    <col min="2311" max="2311" width="22.42578125" customWidth="1"/>
    <col min="2312" max="2312" width="28.28515625" customWidth="1"/>
    <col min="2562" max="2562" width="20.28515625" customWidth="1"/>
    <col min="2563" max="2563" width="29.28515625" customWidth="1"/>
    <col min="2564" max="2564" width="32.28515625" customWidth="1"/>
    <col min="2565" max="2565" width="29.7109375" customWidth="1"/>
    <col min="2566" max="2566" width="20" customWidth="1"/>
    <col min="2567" max="2567" width="22.42578125" customWidth="1"/>
    <col min="2568" max="2568" width="28.28515625" customWidth="1"/>
    <col min="2818" max="2818" width="20.28515625" customWidth="1"/>
    <col min="2819" max="2819" width="29.28515625" customWidth="1"/>
    <col min="2820" max="2820" width="32.28515625" customWidth="1"/>
    <col min="2821" max="2821" width="29.7109375" customWidth="1"/>
    <col min="2822" max="2822" width="20" customWidth="1"/>
    <col min="2823" max="2823" width="22.42578125" customWidth="1"/>
    <col min="2824" max="2824" width="28.28515625" customWidth="1"/>
    <col min="3074" max="3074" width="20.28515625" customWidth="1"/>
    <col min="3075" max="3075" width="29.28515625" customWidth="1"/>
    <col min="3076" max="3076" width="32.28515625" customWidth="1"/>
    <col min="3077" max="3077" width="29.7109375" customWidth="1"/>
    <col min="3078" max="3078" width="20" customWidth="1"/>
    <col min="3079" max="3079" width="22.42578125" customWidth="1"/>
    <col min="3080" max="3080" width="28.28515625" customWidth="1"/>
    <col min="3330" max="3330" width="20.28515625" customWidth="1"/>
    <col min="3331" max="3331" width="29.28515625" customWidth="1"/>
    <col min="3332" max="3332" width="32.28515625" customWidth="1"/>
    <col min="3333" max="3333" width="29.7109375" customWidth="1"/>
    <col min="3334" max="3334" width="20" customWidth="1"/>
    <col min="3335" max="3335" width="22.42578125" customWidth="1"/>
    <col min="3336" max="3336" width="28.28515625" customWidth="1"/>
    <col min="3586" max="3586" width="20.28515625" customWidth="1"/>
    <col min="3587" max="3587" width="29.28515625" customWidth="1"/>
    <col min="3588" max="3588" width="32.28515625" customWidth="1"/>
    <col min="3589" max="3589" width="29.7109375" customWidth="1"/>
    <col min="3590" max="3590" width="20" customWidth="1"/>
    <col min="3591" max="3591" width="22.42578125" customWidth="1"/>
    <col min="3592" max="3592" width="28.28515625" customWidth="1"/>
    <col min="3842" max="3842" width="20.28515625" customWidth="1"/>
    <col min="3843" max="3843" width="29.28515625" customWidth="1"/>
    <col min="3844" max="3844" width="32.28515625" customWidth="1"/>
    <col min="3845" max="3845" width="29.7109375" customWidth="1"/>
    <col min="3846" max="3846" width="20" customWidth="1"/>
    <col min="3847" max="3847" width="22.42578125" customWidth="1"/>
    <col min="3848" max="3848" width="28.28515625" customWidth="1"/>
    <col min="4098" max="4098" width="20.28515625" customWidth="1"/>
    <col min="4099" max="4099" width="29.28515625" customWidth="1"/>
    <col min="4100" max="4100" width="32.28515625" customWidth="1"/>
    <col min="4101" max="4101" width="29.7109375" customWidth="1"/>
    <col min="4102" max="4102" width="20" customWidth="1"/>
    <col min="4103" max="4103" width="22.42578125" customWidth="1"/>
    <col min="4104" max="4104" width="28.28515625" customWidth="1"/>
    <col min="4354" max="4354" width="20.28515625" customWidth="1"/>
    <col min="4355" max="4355" width="29.28515625" customWidth="1"/>
    <col min="4356" max="4356" width="32.28515625" customWidth="1"/>
    <col min="4357" max="4357" width="29.7109375" customWidth="1"/>
    <col min="4358" max="4358" width="20" customWidth="1"/>
    <col min="4359" max="4359" width="22.42578125" customWidth="1"/>
    <col min="4360" max="4360" width="28.28515625" customWidth="1"/>
    <col min="4610" max="4610" width="20.28515625" customWidth="1"/>
    <col min="4611" max="4611" width="29.28515625" customWidth="1"/>
    <col min="4612" max="4612" width="32.28515625" customWidth="1"/>
    <col min="4613" max="4613" width="29.7109375" customWidth="1"/>
    <col min="4614" max="4614" width="20" customWidth="1"/>
    <col min="4615" max="4615" width="22.42578125" customWidth="1"/>
    <col min="4616" max="4616" width="28.28515625" customWidth="1"/>
    <col min="4866" max="4866" width="20.28515625" customWidth="1"/>
    <col min="4867" max="4867" width="29.28515625" customWidth="1"/>
    <col min="4868" max="4868" width="32.28515625" customWidth="1"/>
    <col min="4869" max="4869" width="29.7109375" customWidth="1"/>
    <col min="4870" max="4870" width="20" customWidth="1"/>
    <col min="4871" max="4871" width="22.42578125" customWidth="1"/>
    <col min="4872" max="4872" width="28.28515625" customWidth="1"/>
    <col min="5122" max="5122" width="20.28515625" customWidth="1"/>
    <col min="5123" max="5123" width="29.28515625" customWidth="1"/>
    <col min="5124" max="5124" width="32.28515625" customWidth="1"/>
    <col min="5125" max="5125" width="29.7109375" customWidth="1"/>
    <col min="5126" max="5126" width="20" customWidth="1"/>
    <col min="5127" max="5127" width="22.42578125" customWidth="1"/>
    <col min="5128" max="5128" width="28.28515625" customWidth="1"/>
    <col min="5378" max="5378" width="20.28515625" customWidth="1"/>
    <col min="5379" max="5379" width="29.28515625" customWidth="1"/>
    <col min="5380" max="5380" width="32.28515625" customWidth="1"/>
    <col min="5381" max="5381" width="29.7109375" customWidth="1"/>
    <col min="5382" max="5382" width="20" customWidth="1"/>
    <col min="5383" max="5383" width="22.42578125" customWidth="1"/>
    <col min="5384" max="5384" width="28.28515625" customWidth="1"/>
    <col min="5634" max="5634" width="20.28515625" customWidth="1"/>
    <col min="5635" max="5635" width="29.28515625" customWidth="1"/>
    <col min="5636" max="5636" width="32.28515625" customWidth="1"/>
    <col min="5637" max="5637" width="29.7109375" customWidth="1"/>
    <col min="5638" max="5638" width="20" customWidth="1"/>
    <col min="5639" max="5639" width="22.42578125" customWidth="1"/>
    <col min="5640" max="5640" width="28.28515625" customWidth="1"/>
    <col min="5890" max="5890" width="20.28515625" customWidth="1"/>
    <col min="5891" max="5891" width="29.28515625" customWidth="1"/>
    <col min="5892" max="5892" width="32.28515625" customWidth="1"/>
    <col min="5893" max="5893" width="29.7109375" customWidth="1"/>
    <col min="5894" max="5894" width="20" customWidth="1"/>
    <col min="5895" max="5895" width="22.42578125" customWidth="1"/>
    <col min="5896" max="5896" width="28.28515625" customWidth="1"/>
    <col min="6146" max="6146" width="20.28515625" customWidth="1"/>
    <col min="6147" max="6147" width="29.28515625" customWidth="1"/>
    <col min="6148" max="6148" width="32.28515625" customWidth="1"/>
    <col min="6149" max="6149" width="29.7109375" customWidth="1"/>
    <col min="6150" max="6150" width="20" customWidth="1"/>
    <col min="6151" max="6151" width="22.42578125" customWidth="1"/>
    <col min="6152" max="6152" width="28.28515625" customWidth="1"/>
    <col min="6402" max="6402" width="20.28515625" customWidth="1"/>
    <col min="6403" max="6403" width="29.28515625" customWidth="1"/>
    <col min="6404" max="6404" width="32.28515625" customWidth="1"/>
    <col min="6405" max="6405" width="29.7109375" customWidth="1"/>
    <col min="6406" max="6406" width="20" customWidth="1"/>
    <col min="6407" max="6407" width="22.42578125" customWidth="1"/>
    <col min="6408" max="6408" width="28.28515625" customWidth="1"/>
    <col min="6658" max="6658" width="20.28515625" customWidth="1"/>
    <col min="6659" max="6659" width="29.28515625" customWidth="1"/>
    <col min="6660" max="6660" width="32.28515625" customWidth="1"/>
    <col min="6661" max="6661" width="29.7109375" customWidth="1"/>
    <col min="6662" max="6662" width="20" customWidth="1"/>
    <col min="6663" max="6663" width="22.42578125" customWidth="1"/>
    <col min="6664" max="6664" width="28.28515625" customWidth="1"/>
    <col min="6914" max="6914" width="20.28515625" customWidth="1"/>
    <col min="6915" max="6915" width="29.28515625" customWidth="1"/>
    <col min="6916" max="6916" width="32.28515625" customWidth="1"/>
    <col min="6917" max="6917" width="29.7109375" customWidth="1"/>
    <col min="6918" max="6918" width="20" customWidth="1"/>
    <col min="6919" max="6919" width="22.42578125" customWidth="1"/>
    <col min="6920" max="6920" width="28.28515625" customWidth="1"/>
    <col min="7170" max="7170" width="20.28515625" customWidth="1"/>
    <col min="7171" max="7171" width="29.28515625" customWidth="1"/>
    <col min="7172" max="7172" width="32.28515625" customWidth="1"/>
    <col min="7173" max="7173" width="29.7109375" customWidth="1"/>
    <col min="7174" max="7174" width="20" customWidth="1"/>
    <col min="7175" max="7175" width="22.42578125" customWidth="1"/>
    <col min="7176" max="7176" width="28.28515625" customWidth="1"/>
    <col min="7426" max="7426" width="20.28515625" customWidth="1"/>
    <col min="7427" max="7427" width="29.28515625" customWidth="1"/>
    <col min="7428" max="7428" width="32.28515625" customWidth="1"/>
    <col min="7429" max="7429" width="29.7109375" customWidth="1"/>
    <col min="7430" max="7430" width="20" customWidth="1"/>
    <col min="7431" max="7431" width="22.42578125" customWidth="1"/>
    <col min="7432" max="7432" width="28.28515625" customWidth="1"/>
    <col min="7682" max="7682" width="20.28515625" customWidth="1"/>
    <col min="7683" max="7683" width="29.28515625" customWidth="1"/>
    <col min="7684" max="7684" width="32.28515625" customWidth="1"/>
    <col min="7685" max="7685" width="29.7109375" customWidth="1"/>
    <col min="7686" max="7686" width="20" customWidth="1"/>
    <col min="7687" max="7687" width="22.42578125" customWidth="1"/>
    <col min="7688" max="7688" width="28.28515625" customWidth="1"/>
    <col min="7938" max="7938" width="20.28515625" customWidth="1"/>
    <col min="7939" max="7939" width="29.28515625" customWidth="1"/>
    <col min="7940" max="7940" width="32.28515625" customWidth="1"/>
    <col min="7941" max="7941" width="29.7109375" customWidth="1"/>
    <col min="7942" max="7942" width="20" customWidth="1"/>
    <col min="7943" max="7943" width="22.42578125" customWidth="1"/>
    <col min="7944" max="7944" width="28.28515625" customWidth="1"/>
    <col min="8194" max="8194" width="20.28515625" customWidth="1"/>
    <col min="8195" max="8195" width="29.28515625" customWidth="1"/>
    <col min="8196" max="8196" width="32.28515625" customWidth="1"/>
    <col min="8197" max="8197" width="29.7109375" customWidth="1"/>
    <col min="8198" max="8198" width="20" customWidth="1"/>
    <col min="8199" max="8199" width="22.42578125" customWidth="1"/>
    <col min="8200" max="8200" width="28.28515625" customWidth="1"/>
    <col min="8450" max="8450" width="20.28515625" customWidth="1"/>
    <col min="8451" max="8451" width="29.28515625" customWidth="1"/>
    <col min="8452" max="8452" width="32.28515625" customWidth="1"/>
    <col min="8453" max="8453" width="29.7109375" customWidth="1"/>
    <col min="8454" max="8454" width="20" customWidth="1"/>
    <col min="8455" max="8455" width="22.42578125" customWidth="1"/>
    <col min="8456" max="8456" width="28.28515625" customWidth="1"/>
    <col min="8706" max="8706" width="20.28515625" customWidth="1"/>
    <col min="8707" max="8707" width="29.28515625" customWidth="1"/>
    <col min="8708" max="8708" width="32.28515625" customWidth="1"/>
    <col min="8709" max="8709" width="29.7109375" customWidth="1"/>
    <col min="8710" max="8710" width="20" customWidth="1"/>
    <col min="8711" max="8711" width="22.42578125" customWidth="1"/>
    <col min="8712" max="8712" width="28.28515625" customWidth="1"/>
    <col min="8962" max="8962" width="20.28515625" customWidth="1"/>
    <col min="8963" max="8963" width="29.28515625" customWidth="1"/>
    <col min="8964" max="8964" width="32.28515625" customWidth="1"/>
    <col min="8965" max="8965" width="29.7109375" customWidth="1"/>
    <col min="8966" max="8966" width="20" customWidth="1"/>
    <col min="8967" max="8967" width="22.42578125" customWidth="1"/>
    <col min="8968" max="8968" width="28.28515625" customWidth="1"/>
    <col min="9218" max="9218" width="20.28515625" customWidth="1"/>
    <col min="9219" max="9219" width="29.28515625" customWidth="1"/>
    <col min="9220" max="9220" width="32.28515625" customWidth="1"/>
    <col min="9221" max="9221" width="29.7109375" customWidth="1"/>
    <col min="9222" max="9222" width="20" customWidth="1"/>
    <col min="9223" max="9223" width="22.42578125" customWidth="1"/>
    <col min="9224" max="9224" width="28.28515625" customWidth="1"/>
    <col min="9474" max="9474" width="20.28515625" customWidth="1"/>
    <col min="9475" max="9475" width="29.28515625" customWidth="1"/>
    <col min="9476" max="9476" width="32.28515625" customWidth="1"/>
    <col min="9477" max="9477" width="29.7109375" customWidth="1"/>
    <col min="9478" max="9478" width="20" customWidth="1"/>
    <col min="9479" max="9479" width="22.42578125" customWidth="1"/>
    <col min="9480" max="9480" width="28.28515625" customWidth="1"/>
    <col min="9730" max="9730" width="20.28515625" customWidth="1"/>
    <col min="9731" max="9731" width="29.28515625" customWidth="1"/>
    <col min="9732" max="9732" width="32.28515625" customWidth="1"/>
    <col min="9733" max="9733" width="29.7109375" customWidth="1"/>
    <col min="9734" max="9734" width="20" customWidth="1"/>
    <col min="9735" max="9735" width="22.42578125" customWidth="1"/>
    <col min="9736" max="9736" width="28.28515625" customWidth="1"/>
    <col min="9986" max="9986" width="20.28515625" customWidth="1"/>
    <col min="9987" max="9987" width="29.28515625" customWidth="1"/>
    <col min="9988" max="9988" width="32.28515625" customWidth="1"/>
    <col min="9989" max="9989" width="29.7109375" customWidth="1"/>
    <col min="9990" max="9990" width="20" customWidth="1"/>
    <col min="9991" max="9991" width="22.42578125" customWidth="1"/>
    <col min="9992" max="9992" width="28.28515625" customWidth="1"/>
    <col min="10242" max="10242" width="20.28515625" customWidth="1"/>
    <col min="10243" max="10243" width="29.28515625" customWidth="1"/>
    <col min="10244" max="10244" width="32.28515625" customWidth="1"/>
    <col min="10245" max="10245" width="29.7109375" customWidth="1"/>
    <col min="10246" max="10246" width="20" customWidth="1"/>
    <col min="10247" max="10247" width="22.42578125" customWidth="1"/>
    <col min="10248" max="10248" width="28.28515625" customWidth="1"/>
    <col min="10498" max="10498" width="20.28515625" customWidth="1"/>
    <col min="10499" max="10499" width="29.28515625" customWidth="1"/>
    <col min="10500" max="10500" width="32.28515625" customWidth="1"/>
    <col min="10501" max="10501" width="29.7109375" customWidth="1"/>
    <col min="10502" max="10502" width="20" customWidth="1"/>
    <col min="10503" max="10503" width="22.42578125" customWidth="1"/>
    <col min="10504" max="10504" width="28.28515625" customWidth="1"/>
    <col min="10754" max="10754" width="20.28515625" customWidth="1"/>
    <col min="10755" max="10755" width="29.28515625" customWidth="1"/>
    <col min="10756" max="10756" width="32.28515625" customWidth="1"/>
    <col min="10757" max="10757" width="29.7109375" customWidth="1"/>
    <col min="10758" max="10758" width="20" customWidth="1"/>
    <col min="10759" max="10759" width="22.42578125" customWidth="1"/>
    <col min="10760" max="10760" width="28.28515625" customWidth="1"/>
    <col min="11010" max="11010" width="20.28515625" customWidth="1"/>
    <col min="11011" max="11011" width="29.28515625" customWidth="1"/>
    <col min="11012" max="11012" width="32.28515625" customWidth="1"/>
    <col min="11013" max="11013" width="29.7109375" customWidth="1"/>
    <col min="11014" max="11014" width="20" customWidth="1"/>
    <col min="11015" max="11015" width="22.42578125" customWidth="1"/>
    <col min="11016" max="11016" width="28.28515625" customWidth="1"/>
    <col min="11266" max="11266" width="20.28515625" customWidth="1"/>
    <col min="11267" max="11267" width="29.28515625" customWidth="1"/>
    <col min="11268" max="11268" width="32.28515625" customWidth="1"/>
    <col min="11269" max="11269" width="29.7109375" customWidth="1"/>
    <col min="11270" max="11270" width="20" customWidth="1"/>
    <col min="11271" max="11271" width="22.42578125" customWidth="1"/>
    <col min="11272" max="11272" width="28.28515625" customWidth="1"/>
    <col min="11522" max="11522" width="20.28515625" customWidth="1"/>
    <col min="11523" max="11523" width="29.28515625" customWidth="1"/>
    <col min="11524" max="11524" width="32.28515625" customWidth="1"/>
    <col min="11525" max="11525" width="29.7109375" customWidth="1"/>
    <col min="11526" max="11526" width="20" customWidth="1"/>
    <col min="11527" max="11527" width="22.42578125" customWidth="1"/>
    <col min="11528" max="11528" width="28.28515625" customWidth="1"/>
    <col min="11778" max="11778" width="20.28515625" customWidth="1"/>
    <col min="11779" max="11779" width="29.28515625" customWidth="1"/>
    <col min="11780" max="11780" width="32.28515625" customWidth="1"/>
    <col min="11781" max="11781" width="29.7109375" customWidth="1"/>
    <col min="11782" max="11782" width="20" customWidth="1"/>
    <col min="11783" max="11783" width="22.42578125" customWidth="1"/>
    <col min="11784" max="11784" width="28.28515625" customWidth="1"/>
    <col min="12034" max="12034" width="20.28515625" customWidth="1"/>
    <col min="12035" max="12035" width="29.28515625" customWidth="1"/>
    <col min="12036" max="12036" width="32.28515625" customWidth="1"/>
    <col min="12037" max="12037" width="29.7109375" customWidth="1"/>
    <col min="12038" max="12038" width="20" customWidth="1"/>
    <col min="12039" max="12039" width="22.42578125" customWidth="1"/>
    <col min="12040" max="12040" width="28.28515625" customWidth="1"/>
    <col min="12290" max="12290" width="20.28515625" customWidth="1"/>
    <col min="12291" max="12291" width="29.28515625" customWidth="1"/>
    <col min="12292" max="12292" width="32.28515625" customWidth="1"/>
    <col min="12293" max="12293" width="29.7109375" customWidth="1"/>
    <col min="12294" max="12294" width="20" customWidth="1"/>
    <col min="12295" max="12295" width="22.42578125" customWidth="1"/>
    <col min="12296" max="12296" width="28.28515625" customWidth="1"/>
    <col min="12546" max="12546" width="20.28515625" customWidth="1"/>
    <col min="12547" max="12547" width="29.28515625" customWidth="1"/>
    <col min="12548" max="12548" width="32.28515625" customWidth="1"/>
    <col min="12549" max="12549" width="29.7109375" customWidth="1"/>
    <col min="12550" max="12550" width="20" customWidth="1"/>
    <col min="12551" max="12551" width="22.42578125" customWidth="1"/>
    <col min="12552" max="12552" width="28.28515625" customWidth="1"/>
    <col min="12802" max="12802" width="20.28515625" customWidth="1"/>
    <col min="12803" max="12803" width="29.28515625" customWidth="1"/>
    <col min="12804" max="12804" width="32.28515625" customWidth="1"/>
    <col min="12805" max="12805" width="29.7109375" customWidth="1"/>
    <col min="12806" max="12806" width="20" customWidth="1"/>
    <col min="12807" max="12807" width="22.42578125" customWidth="1"/>
    <col min="12808" max="12808" width="28.28515625" customWidth="1"/>
    <col min="13058" max="13058" width="20.28515625" customWidth="1"/>
    <col min="13059" max="13059" width="29.28515625" customWidth="1"/>
    <col min="13060" max="13060" width="32.28515625" customWidth="1"/>
    <col min="13061" max="13061" width="29.7109375" customWidth="1"/>
    <col min="13062" max="13062" width="20" customWidth="1"/>
    <col min="13063" max="13063" width="22.42578125" customWidth="1"/>
    <col min="13064" max="13064" width="28.28515625" customWidth="1"/>
    <col min="13314" max="13314" width="20.28515625" customWidth="1"/>
    <col min="13315" max="13315" width="29.28515625" customWidth="1"/>
    <col min="13316" max="13316" width="32.28515625" customWidth="1"/>
    <col min="13317" max="13317" width="29.7109375" customWidth="1"/>
    <col min="13318" max="13318" width="20" customWidth="1"/>
    <col min="13319" max="13319" width="22.42578125" customWidth="1"/>
    <col min="13320" max="13320" width="28.28515625" customWidth="1"/>
    <col min="13570" max="13570" width="20.28515625" customWidth="1"/>
    <col min="13571" max="13571" width="29.28515625" customWidth="1"/>
    <col min="13572" max="13572" width="32.28515625" customWidth="1"/>
    <col min="13573" max="13573" width="29.7109375" customWidth="1"/>
    <col min="13574" max="13574" width="20" customWidth="1"/>
    <col min="13575" max="13575" width="22.42578125" customWidth="1"/>
    <col min="13576" max="13576" width="28.28515625" customWidth="1"/>
    <col min="13826" max="13826" width="20.28515625" customWidth="1"/>
    <col min="13827" max="13827" width="29.28515625" customWidth="1"/>
    <col min="13828" max="13828" width="32.28515625" customWidth="1"/>
    <col min="13829" max="13829" width="29.7109375" customWidth="1"/>
    <col min="13830" max="13830" width="20" customWidth="1"/>
    <col min="13831" max="13831" width="22.42578125" customWidth="1"/>
    <col min="13832" max="13832" width="28.28515625" customWidth="1"/>
    <col min="14082" max="14082" width="20.28515625" customWidth="1"/>
    <col min="14083" max="14083" width="29.28515625" customWidth="1"/>
    <col min="14084" max="14084" width="32.28515625" customWidth="1"/>
    <col min="14085" max="14085" width="29.7109375" customWidth="1"/>
    <col min="14086" max="14086" width="20" customWidth="1"/>
    <col min="14087" max="14087" width="22.42578125" customWidth="1"/>
    <col min="14088" max="14088" width="28.28515625" customWidth="1"/>
    <col min="14338" max="14338" width="20.28515625" customWidth="1"/>
    <col min="14339" max="14339" width="29.28515625" customWidth="1"/>
    <col min="14340" max="14340" width="32.28515625" customWidth="1"/>
    <col min="14341" max="14341" width="29.7109375" customWidth="1"/>
    <col min="14342" max="14342" width="20" customWidth="1"/>
    <col min="14343" max="14343" width="22.42578125" customWidth="1"/>
    <col min="14344" max="14344" width="28.28515625" customWidth="1"/>
    <col min="14594" max="14594" width="20.28515625" customWidth="1"/>
    <col min="14595" max="14595" width="29.28515625" customWidth="1"/>
    <col min="14596" max="14596" width="32.28515625" customWidth="1"/>
    <col min="14597" max="14597" width="29.7109375" customWidth="1"/>
    <col min="14598" max="14598" width="20" customWidth="1"/>
    <col min="14599" max="14599" width="22.42578125" customWidth="1"/>
    <col min="14600" max="14600" width="28.28515625" customWidth="1"/>
    <col min="14850" max="14850" width="20.28515625" customWidth="1"/>
    <col min="14851" max="14851" width="29.28515625" customWidth="1"/>
    <col min="14852" max="14852" width="32.28515625" customWidth="1"/>
    <col min="14853" max="14853" width="29.7109375" customWidth="1"/>
    <col min="14854" max="14854" width="20" customWidth="1"/>
    <col min="14855" max="14855" width="22.42578125" customWidth="1"/>
    <col min="14856" max="14856" width="28.28515625" customWidth="1"/>
    <col min="15106" max="15106" width="20.28515625" customWidth="1"/>
    <col min="15107" max="15107" width="29.28515625" customWidth="1"/>
    <col min="15108" max="15108" width="32.28515625" customWidth="1"/>
    <col min="15109" max="15109" width="29.7109375" customWidth="1"/>
    <col min="15110" max="15110" width="20" customWidth="1"/>
    <col min="15111" max="15111" width="22.42578125" customWidth="1"/>
    <col min="15112" max="15112" width="28.28515625" customWidth="1"/>
    <col min="15362" max="15362" width="20.28515625" customWidth="1"/>
    <col min="15363" max="15363" width="29.28515625" customWidth="1"/>
    <col min="15364" max="15364" width="32.28515625" customWidth="1"/>
    <col min="15365" max="15365" width="29.7109375" customWidth="1"/>
    <col min="15366" max="15366" width="20" customWidth="1"/>
    <col min="15367" max="15367" width="22.42578125" customWidth="1"/>
    <col min="15368" max="15368" width="28.28515625" customWidth="1"/>
    <col min="15618" max="15618" width="20.28515625" customWidth="1"/>
    <col min="15619" max="15619" width="29.28515625" customWidth="1"/>
    <col min="15620" max="15620" width="32.28515625" customWidth="1"/>
    <col min="15621" max="15621" width="29.7109375" customWidth="1"/>
    <col min="15622" max="15622" width="20" customWidth="1"/>
    <col min="15623" max="15623" width="22.42578125" customWidth="1"/>
    <col min="15624" max="15624" width="28.28515625" customWidth="1"/>
    <col min="15874" max="15874" width="20.28515625" customWidth="1"/>
    <col min="15875" max="15875" width="29.28515625" customWidth="1"/>
    <col min="15876" max="15876" width="32.28515625" customWidth="1"/>
    <col min="15877" max="15877" width="29.7109375" customWidth="1"/>
    <col min="15878" max="15878" width="20" customWidth="1"/>
    <col min="15879" max="15879" width="22.42578125" customWidth="1"/>
    <col min="15880" max="15880" width="28.28515625" customWidth="1"/>
    <col min="16130" max="16130" width="20.28515625" customWidth="1"/>
    <col min="16131" max="16131" width="29.28515625" customWidth="1"/>
    <col min="16132" max="16132" width="32.28515625" customWidth="1"/>
    <col min="16133" max="16133" width="29.7109375" customWidth="1"/>
    <col min="16134" max="16134" width="20" customWidth="1"/>
    <col min="16135" max="16135" width="22.42578125" customWidth="1"/>
    <col min="16136" max="16136" width="28.28515625" customWidth="1"/>
  </cols>
  <sheetData>
    <row r="4" spans="2:8" ht="20.25" x14ac:dyDescent="0.3">
      <c r="C4" s="158" t="s">
        <v>313</v>
      </c>
    </row>
    <row r="5" spans="2:8" ht="13.5" thickBot="1" x14ac:dyDescent="0.25"/>
    <row r="6" spans="2:8" ht="16.5" thickBot="1" x14ac:dyDescent="0.25">
      <c r="C6" s="159" t="s">
        <v>212</v>
      </c>
      <c r="D6" s="159" t="s">
        <v>213</v>
      </c>
      <c r="E6" s="159" t="s">
        <v>314</v>
      </c>
      <c r="F6" s="159" t="s">
        <v>175</v>
      </c>
      <c r="G6" s="159" t="s">
        <v>176</v>
      </c>
      <c r="H6" s="159" t="s">
        <v>177</v>
      </c>
    </row>
    <row r="7" spans="2:8" x14ac:dyDescent="0.2">
      <c r="B7" s="201" t="s">
        <v>11</v>
      </c>
      <c r="C7" s="160" t="s">
        <v>0</v>
      </c>
      <c r="D7" s="160" t="s">
        <v>221</v>
      </c>
      <c r="E7" s="161">
        <v>14000</v>
      </c>
      <c r="F7" s="161">
        <v>30</v>
      </c>
      <c r="G7" s="161">
        <f>100-F7</f>
        <v>70</v>
      </c>
      <c r="H7" s="162">
        <f>E7/100*G7</f>
        <v>9800</v>
      </c>
    </row>
    <row r="8" spans="2:8" x14ac:dyDescent="0.2">
      <c r="B8" s="202"/>
      <c r="C8" s="163" t="s">
        <v>315</v>
      </c>
      <c r="D8" s="163" t="s">
        <v>316</v>
      </c>
      <c r="E8" s="164">
        <v>420</v>
      </c>
      <c r="F8" s="164">
        <v>26</v>
      </c>
      <c r="G8" s="164">
        <f t="shared" ref="G8:G41" si="0">100-F8</f>
        <v>74</v>
      </c>
      <c r="H8" s="165">
        <f t="shared" ref="H8:H41" si="1">E8/100*G8</f>
        <v>310.8</v>
      </c>
    </row>
    <row r="9" spans="2:8" x14ac:dyDescent="0.2">
      <c r="B9" s="202"/>
      <c r="C9" s="166" t="s">
        <v>185</v>
      </c>
      <c r="D9" s="166" t="s">
        <v>219</v>
      </c>
      <c r="E9" s="164">
        <v>51050</v>
      </c>
      <c r="F9" s="164">
        <v>40</v>
      </c>
      <c r="G9" s="164">
        <f t="shared" si="0"/>
        <v>60</v>
      </c>
      <c r="H9" s="165">
        <f t="shared" si="1"/>
        <v>30630</v>
      </c>
    </row>
    <row r="10" spans="2:8" x14ac:dyDescent="0.2">
      <c r="B10" s="202"/>
      <c r="C10" s="163" t="s">
        <v>317</v>
      </c>
      <c r="D10" s="163" t="s">
        <v>318</v>
      </c>
      <c r="E10" s="164">
        <v>125</v>
      </c>
      <c r="F10" s="164">
        <v>26</v>
      </c>
      <c r="G10" s="164">
        <f t="shared" si="0"/>
        <v>74</v>
      </c>
      <c r="H10" s="165">
        <f t="shared" si="1"/>
        <v>92.5</v>
      </c>
    </row>
    <row r="11" spans="2:8" x14ac:dyDescent="0.2">
      <c r="B11" s="202"/>
      <c r="C11" s="163" t="s">
        <v>1</v>
      </c>
      <c r="D11" s="166" t="s">
        <v>218</v>
      </c>
      <c r="E11" s="164">
        <v>80646</v>
      </c>
      <c r="F11" s="164">
        <v>24</v>
      </c>
      <c r="G11" s="164">
        <f t="shared" si="0"/>
        <v>76</v>
      </c>
      <c r="H11" s="165">
        <f t="shared" si="1"/>
        <v>61290.960000000006</v>
      </c>
    </row>
    <row r="12" spans="2:8" x14ac:dyDescent="0.2">
      <c r="B12" s="202"/>
      <c r="C12" s="163" t="s">
        <v>2</v>
      </c>
      <c r="D12" s="166" t="s">
        <v>229</v>
      </c>
      <c r="E12" s="164">
        <v>9260</v>
      </c>
      <c r="F12" s="164">
        <v>40</v>
      </c>
      <c r="G12" s="164">
        <f t="shared" si="0"/>
        <v>60</v>
      </c>
      <c r="H12" s="165">
        <f t="shared" si="1"/>
        <v>5556</v>
      </c>
    </row>
    <row r="13" spans="2:8" x14ac:dyDescent="0.2">
      <c r="B13" s="202"/>
      <c r="C13" s="163" t="s">
        <v>3</v>
      </c>
      <c r="D13" s="166" t="s">
        <v>223</v>
      </c>
      <c r="E13" s="164">
        <v>2300</v>
      </c>
      <c r="F13" s="164">
        <v>30</v>
      </c>
      <c r="G13" s="164">
        <f t="shared" si="0"/>
        <v>70</v>
      </c>
      <c r="H13" s="165">
        <f t="shared" si="1"/>
        <v>1610</v>
      </c>
    </row>
    <row r="14" spans="2:8" x14ac:dyDescent="0.2">
      <c r="B14" s="202"/>
      <c r="C14" s="163" t="s">
        <v>4</v>
      </c>
      <c r="D14" s="166" t="s">
        <v>224</v>
      </c>
      <c r="E14" s="164">
        <v>250</v>
      </c>
      <c r="F14" s="164">
        <v>25</v>
      </c>
      <c r="G14" s="164">
        <f t="shared" si="0"/>
        <v>75</v>
      </c>
      <c r="H14" s="165">
        <f t="shared" si="1"/>
        <v>187.5</v>
      </c>
    </row>
    <row r="15" spans="2:8" x14ac:dyDescent="0.2">
      <c r="B15" s="202"/>
      <c r="C15" s="163" t="s">
        <v>178</v>
      </c>
      <c r="D15" s="166" t="s">
        <v>269</v>
      </c>
      <c r="E15" s="164">
        <v>210</v>
      </c>
      <c r="F15" s="164">
        <v>25</v>
      </c>
      <c r="G15" s="164">
        <f t="shared" si="0"/>
        <v>75</v>
      </c>
      <c r="H15" s="165">
        <f t="shared" si="1"/>
        <v>157.5</v>
      </c>
    </row>
    <row r="16" spans="2:8" x14ac:dyDescent="0.2">
      <c r="B16" s="202"/>
      <c r="C16" s="163" t="s">
        <v>81</v>
      </c>
      <c r="D16" s="166" t="s">
        <v>216</v>
      </c>
      <c r="E16" s="164">
        <v>77050</v>
      </c>
      <c r="F16" s="164">
        <v>27</v>
      </c>
      <c r="G16" s="164">
        <f t="shared" si="0"/>
        <v>73</v>
      </c>
      <c r="H16" s="165">
        <f t="shared" si="1"/>
        <v>56246.5</v>
      </c>
    </row>
    <row r="17" spans="2:8" x14ac:dyDescent="0.2">
      <c r="B17" s="202"/>
      <c r="C17" s="163" t="s">
        <v>232</v>
      </c>
      <c r="D17" s="166" t="s">
        <v>233</v>
      </c>
      <c r="E17" s="164">
        <v>74000</v>
      </c>
      <c r="F17" s="164">
        <v>30</v>
      </c>
      <c r="G17" s="164">
        <f t="shared" si="0"/>
        <v>70</v>
      </c>
      <c r="H17" s="165">
        <f t="shared" si="1"/>
        <v>51800</v>
      </c>
    </row>
    <row r="18" spans="2:8" x14ac:dyDescent="0.2">
      <c r="B18" s="202"/>
      <c r="C18" s="163" t="s">
        <v>319</v>
      </c>
      <c r="D18" s="166" t="s">
        <v>320</v>
      </c>
      <c r="E18" s="164">
        <v>210</v>
      </c>
      <c r="F18" s="164">
        <v>33</v>
      </c>
      <c r="G18" s="164">
        <f t="shared" si="0"/>
        <v>67</v>
      </c>
      <c r="H18" s="165">
        <f t="shared" si="1"/>
        <v>140.70000000000002</v>
      </c>
    </row>
    <row r="19" spans="2:8" x14ac:dyDescent="0.2">
      <c r="B19" s="202"/>
      <c r="C19" s="163" t="s">
        <v>179</v>
      </c>
      <c r="D19" s="166" t="s">
        <v>222</v>
      </c>
      <c r="E19" s="164">
        <v>48500</v>
      </c>
      <c r="F19" s="164">
        <v>36</v>
      </c>
      <c r="G19" s="164">
        <f t="shared" si="0"/>
        <v>64</v>
      </c>
      <c r="H19" s="165">
        <f t="shared" si="1"/>
        <v>31040</v>
      </c>
    </row>
    <row r="20" spans="2:8" x14ac:dyDescent="0.2">
      <c r="B20" s="202"/>
      <c r="C20" s="163" t="s">
        <v>5</v>
      </c>
      <c r="D20" s="166" t="s">
        <v>215</v>
      </c>
      <c r="E20" s="164">
        <v>109300</v>
      </c>
      <c r="F20" s="164">
        <v>40</v>
      </c>
      <c r="G20" s="164">
        <f t="shared" si="0"/>
        <v>60</v>
      </c>
      <c r="H20" s="165">
        <f t="shared" si="1"/>
        <v>65580</v>
      </c>
    </row>
    <row r="21" spans="2:8" x14ac:dyDescent="0.2">
      <c r="B21" s="202"/>
      <c r="C21" s="163" t="s">
        <v>6</v>
      </c>
      <c r="D21" s="166" t="s">
        <v>214</v>
      </c>
      <c r="E21" s="164">
        <v>267600</v>
      </c>
      <c r="F21" s="164">
        <v>41</v>
      </c>
      <c r="G21" s="164">
        <f t="shared" si="0"/>
        <v>59</v>
      </c>
      <c r="H21" s="165">
        <f t="shared" si="1"/>
        <v>157884</v>
      </c>
    </row>
    <row r="22" spans="2:8" x14ac:dyDescent="0.2">
      <c r="B22" s="202"/>
      <c r="C22" s="163" t="s">
        <v>272</v>
      </c>
      <c r="D22" s="166" t="s">
        <v>273</v>
      </c>
      <c r="E22" s="164">
        <v>270</v>
      </c>
      <c r="F22" s="164">
        <v>31</v>
      </c>
      <c r="G22" s="164">
        <f t="shared" si="0"/>
        <v>69</v>
      </c>
      <c r="H22" s="165">
        <f t="shared" si="1"/>
        <v>186.3</v>
      </c>
    </row>
    <row r="23" spans="2:8" x14ac:dyDescent="0.2">
      <c r="B23" s="202"/>
      <c r="C23" s="163" t="s">
        <v>7</v>
      </c>
      <c r="D23" s="166" t="s">
        <v>227</v>
      </c>
      <c r="E23" s="164">
        <v>1730</v>
      </c>
      <c r="F23" s="164">
        <v>25</v>
      </c>
      <c r="G23" s="164">
        <f t="shared" si="0"/>
        <v>75</v>
      </c>
      <c r="H23" s="165">
        <f t="shared" si="1"/>
        <v>1297.5</v>
      </c>
    </row>
    <row r="24" spans="2:8" x14ac:dyDescent="0.2">
      <c r="B24" s="202"/>
      <c r="C24" s="163" t="s">
        <v>82</v>
      </c>
      <c r="D24" s="166" t="s">
        <v>226</v>
      </c>
      <c r="E24" s="164">
        <v>4580</v>
      </c>
      <c r="F24" s="164">
        <v>34</v>
      </c>
      <c r="G24" s="164">
        <f t="shared" si="0"/>
        <v>66</v>
      </c>
      <c r="H24" s="165">
        <f t="shared" si="1"/>
        <v>3022.7999999999997</v>
      </c>
    </row>
    <row r="25" spans="2:8" x14ac:dyDescent="0.2">
      <c r="B25" s="202"/>
      <c r="C25" s="163" t="s">
        <v>230</v>
      </c>
      <c r="D25" s="166" t="s">
        <v>231</v>
      </c>
      <c r="E25" s="164">
        <v>4350</v>
      </c>
      <c r="F25" s="164">
        <v>44</v>
      </c>
      <c r="G25" s="164">
        <f t="shared" si="0"/>
        <v>56</v>
      </c>
      <c r="H25" s="165">
        <f t="shared" si="1"/>
        <v>2436</v>
      </c>
    </row>
    <row r="26" spans="2:8" x14ac:dyDescent="0.2">
      <c r="B26" s="202"/>
      <c r="C26" s="163" t="s">
        <v>276</v>
      </c>
      <c r="D26" s="166" t="s">
        <v>277</v>
      </c>
      <c r="E26" s="164">
        <v>20</v>
      </c>
      <c r="F26" s="164">
        <v>13</v>
      </c>
      <c r="G26" s="164">
        <f t="shared" si="0"/>
        <v>87</v>
      </c>
      <c r="H26" s="165">
        <f t="shared" si="1"/>
        <v>17.400000000000002</v>
      </c>
    </row>
    <row r="27" spans="2:8" x14ac:dyDescent="0.2">
      <c r="B27" s="202"/>
      <c r="C27" s="163" t="s">
        <v>236</v>
      </c>
      <c r="D27" s="166" t="s">
        <v>237</v>
      </c>
      <c r="E27" s="164">
        <v>140</v>
      </c>
      <c r="F27" s="164">
        <v>27</v>
      </c>
      <c r="G27" s="164">
        <f t="shared" si="0"/>
        <v>73</v>
      </c>
      <c r="H27" s="165">
        <f t="shared" si="1"/>
        <v>102.19999999999999</v>
      </c>
    </row>
    <row r="28" spans="2:8" x14ac:dyDescent="0.2">
      <c r="B28" s="202"/>
      <c r="C28" s="163" t="s">
        <v>267</v>
      </c>
      <c r="D28" s="166" t="s">
        <v>268</v>
      </c>
      <c r="E28" s="164">
        <v>10000</v>
      </c>
      <c r="F28" s="164">
        <v>36</v>
      </c>
      <c r="G28" s="164">
        <f t="shared" si="0"/>
        <v>64</v>
      </c>
      <c r="H28" s="165">
        <f t="shared" si="1"/>
        <v>6400</v>
      </c>
    </row>
    <row r="29" spans="2:8" x14ac:dyDescent="0.2">
      <c r="B29" s="202"/>
      <c r="C29" s="163" t="s">
        <v>8</v>
      </c>
      <c r="D29" s="166" t="s">
        <v>225</v>
      </c>
      <c r="E29" s="164">
        <v>5705</v>
      </c>
      <c r="F29" s="164">
        <v>27</v>
      </c>
      <c r="G29" s="164">
        <f t="shared" si="0"/>
        <v>73</v>
      </c>
      <c r="H29" s="165">
        <f t="shared" si="1"/>
        <v>4164.6499999999996</v>
      </c>
    </row>
    <row r="30" spans="2:8" x14ac:dyDescent="0.2">
      <c r="B30" s="202"/>
      <c r="C30" s="163" t="s">
        <v>234</v>
      </c>
      <c r="D30" s="166" t="s">
        <v>235</v>
      </c>
      <c r="E30" s="164">
        <v>690</v>
      </c>
      <c r="F30" s="164">
        <v>33</v>
      </c>
      <c r="G30" s="164">
        <f t="shared" si="0"/>
        <v>67</v>
      </c>
      <c r="H30" s="165">
        <f t="shared" si="1"/>
        <v>462.3</v>
      </c>
    </row>
    <row r="31" spans="2:8" x14ac:dyDescent="0.2">
      <c r="B31" s="202"/>
      <c r="C31" s="163" t="s">
        <v>238</v>
      </c>
      <c r="D31" s="166" t="s">
        <v>239</v>
      </c>
      <c r="E31" s="164">
        <v>1980</v>
      </c>
      <c r="F31" s="164">
        <v>18</v>
      </c>
      <c r="G31" s="164">
        <f t="shared" si="0"/>
        <v>82</v>
      </c>
      <c r="H31" s="165">
        <f t="shared" si="1"/>
        <v>1623.6000000000001</v>
      </c>
    </row>
    <row r="32" spans="2:8" x14ac:dyDescent="0.2">
      <c r="B32" s="202"/>
      <c r="C32" s="163" t="s">
        <v>83</v>
      </c>
      <c r="D32" s="166" t="s">
        <v>217</v>
      </c>
      <c r="E32" s="164">
        <v>28400</v>
      </c>
      <c r="F32" s="164">
        <v>36</v>
      </c>
      <c r="G32" s="164">
        <f t="shared" si="0"/>
        <v>64</v>
      </c>
      <c r="H32" s="165">
        <f t="shared" si="1"/>
        <v>18176</v>
      </c>
    </row>
    <row r="33" spans="2:8" x14ac:dyDescent="0.2">
      <c r="B33" s="202"/>
      <c r="C33" s="163" t="s">
        <v>321</v>
      </c>
      <c r="D33" s="166" t="s">
        <v>322</v>
      </c>
      <c r="E33" s="164">
        <v>1020</v>
      </c>
      <c r="F33" s="164">
        <v>37</v>
      </c>
      <c r="G33" s="164">
        <f t="shared" si="0"/>
        <v>63</v>
      </c>
      <c r="H33" s="165">
        <f t="shared" si="1"/>
        <v>642.59999999999991</v>
      </c>
    </row>
    <row r="34" spans="2:8" x14ac:dyDescent="0.2">
      <c r="B34" s="202"/>
      <c r="C34" s="163" t="s">
        <v>270</v>
      </c>
      <c r="D34" s="166" t="s">
        <v>271</v>
      </c>
      <c r="E34" s="164">
        <v>600</v>
      </c>
      <c r="F34" s="164">
        <v>27</v>
      </c>
      <c r="G34" s="164">
        <f t="shared" si="0"/>
        <v>73</v>
      </c>
      <c r="H34" s="165">
        <f t="shared" si="1"/>
        <v>438</v>
      </c>
    </row>
    <row r="35" spans="2:8" x14ac:dyDescent="0.2">
      <c r="B35" s="202"/>
      <c r="C35" s="163" t="s">
        <v>9</v>
      </c>
      <c r="D35" s="166" t="s">
        <v>220</v>
      </c>
      <c r="E35" s="164">
        <v>23450</v>
      </c>
      <c r="F35" s="164">
        <v>30</v>
      </c>
      <c r="G35" s="164">
        <f t="shared" si="0"/>
        <v>70</v>
      </c>
      <c r="H35" s="165">
        <f t="shared" si="1"/>
        <v>16415</v>
      </c>
    </row>
    <row r="36" spans="2:8" x14ac:dyDescent="0.2">
      <c r="B36" s="202"/>
      <c r="C36" s="163" t="s">
        <v>274</v>
      </c>
      <c r="D36" s="166" t="s">
        <v>275</v>
      </c>
      <c r="E36" s="164">
        <v>35</v>
      </c>
      <c r="F36" s="164">
        <v>27</v>
      </c>
      <c r="G36" s="164">
        <f t="shared" si="0"/>
        <v>73</v>
      </c>
      <c r="H36" s="165">
        <f t="shared" si="1"/>
        <v>25.549999999999997</v>
      </c>
    </row>
    <row r="37" spans="2:8" x14ac:dyDescent="0.2">
      <c r="B37" s="202"/>
      <c r="C37" s="163" t="s">
        <v>323</v>
      </c>
      <c r="D37" s="166" t="s">
        <v>324</v>
      </c>
      <c r="E37" s="164">
        <v>200</v>
      </c>
      <c r="F37" s="164">
        <v>40</v>
      </c>
      <c r="G37" s="164">
        <f t="shared" si="0"/>
        <v>60</v>
      </c>
      <c r="H37" s="165">
        <f t="shared" si="1"/>
        <v>120</v>
      </c>
    </row>
    <row r="38" spans="2:8" ht="13.5" thickBot="1" x14ac:dyDescent="0.25">
      <c r="B38" s="202"/>
      <c r="C38" s="167" t="s">
        <v>180</v>
      </c>
      <c r="D38" s="168" t="s">
        <v>228</v>
      </c>
      <c r="E38" s="169">
        <v>1800</v>
      </c>
      <c r="F38" s="169">
        <v>18</v>
      </c>
      <c r="G38" s="169">
        <f t="shared" si="0"/>
        <v>82</v>
      </c>
      <c r="H38" s="170">
        <f t="shared" si="1"/>
        <v>1476</v>
      </c>
    </row>
    <row r="39" spans="2:8" ht="16.5" thickBot="1" x14ac:dyDescent="0.3">
      <c r="B39" s="203"/>
      <c r="C39" s="204" t="s">
        <v>325</v>
      </c>
      <c r="D39" s="204"/>
      <c r="E39" s="172">
        <f>SUM(E7:E38)</f>
        <v>819891</v>
      </c>
      <c r="F39" s="171"/>
      <c r="G39" s="171"/>
      <c r="H39" s="171">
        <f>SUM(H7:H38)</f>
        <v>529332.3600000001</v>
      </c>
    </row>
    <row r="40" spans="2:8" x14ac:dyDescent="0.2">
      <c r="B40" s="205" t="s">
        <v>12</v>
      </c>
      <c r="C40" s="173" t="s">
        <v>181</v>
      </c>
      <c r="D40" s="173" t="s">
        <v>240</v>
      </c>
      <c r="E40" s="174">
        <v>8360</v>
      </c>
      <c r="F40" s="174">
        <v>1.2</v>
      </c>
      <c r="G40" s="174">
        <f t="shared" si="0"/>
        <v>98.8</v>
      </c>
      <c r="H40" s="174">
        <f t="shared" si="1"/>
        <v>8259.6799999999985</v>
      </c>
    </row>
    <row r="41" spans="2:8" ht="13.5" thickBot="1" x14ac:dyDescent="0.25">
      <c r="B41" s="206"/>
      <c r="C41" s="175" t="s">
        <v>326</v>
      </c>
      <c r="D41" s="175" t="s">
        <v>327</v>
      </c>
      <c r="E41" s="176">
        <v>300</v>
      </c>
      <c r="F41" s="176">
        <v>0.5</v>
      </c>
      <c r="G41" s="176">
        <f t="shared" si="0"/>
        <v>99.5</v>
      </c>
      <c r="H41" s="176">
        <f t="shared" si="1"/>
        <v>298.5</v>
      </c>
    </row>
    <row r="42" spans="2:8" ht="16.5" thickBot="1" x14ac:dyDescent="0.3">
      <c r="B42" s="207"/>
      <c r="C42" s="208" t="s">
        <v>14</v>
      </c>
      <c r="D42" s="208"/>
      <c r="E42" s="177">
        <f>SUM(E40:E41)</f>
        <v>8660</v>
      </c>
      <c r="F42" s="178"/>
      <c r="G42" s="178"/>
      <c r="H42" s="177">
        <f>SUM(H40:H41)</f>
        <v>8558.1799999999985</v>
      </c>
    </row>
    <row r="43" spans="2:8" x14ac:dyDescent="0.2">
      <c r="B43" s="209" t="s">
        <v>174</v>
      </c>
      <c r="C43" s="179" t="s">
        <v>10</v>
      </c>
      <c r="D43" s="179" t="s">
        <v>241</v>
      </c>
      <c r="E43" s="180">
        <v>5000</v>
      </c>
      <c r="F43" s="180"/>
      <c r="G43" s="180"/>
      <c r="H43" s="180"/>
    </row>
    <row r="44" spans="2:8" ht="13.5" thickBot="1" x14ac:dyDescent="0.25">
      <c r="B44" s="210"/>
      <c r="C44" s="181" t="s">
        <v>278</v>
      </c>
      <c r="D44" s="181" t="s">
        <v>328</v>
      </c>
      <c r="E44" s="182">
        <v>770</v>
      </c>
      <c r="F44" s="182"/>
      <c r="G44" s="182"/>
      <c r="H44" s="182"/>
    </row>
    <row r="45" spans="2:8" ht="16.5" thickBot="1" x14ac:dyDescent="0.3">
      <c r="B45" s="211"/>
      <c r="C45" s="212" t="s">
        <v>13</v>
      </c>
      <c r="D45" s="212"/>
      <c r="E45" s="183">
        <f>SUM(E43:E44)</f>
        <v>5770</v>
      </c>
      <c r="F45" s="183"/>
      <c r="G45" s="183">
        <v>100</v>
      </c>
      <c r="H45" s="183">
        <f>E45</f>
        <v>5770</v>
      </c>
    </row>
    <row r="48" spans="2:8" x14ac:dyDescent="0.2">
      <c r="D48" s="184"/>
    </row>
  </sheetData>
  <mergeCells count="6">
    <mergeCell ref="B7:B39"/>
    <mergeCell ref="C39:D39"/>
    <mergeCell ref="B40:B42"/>
    <mergeCell ref="C42:D42"/>
    <mergeCell ref="B43:B45"/>
    <mergeCell ref="C45:D45"/>
  </mergeCells>
  <pageMargins left="0.7" right="0.7" top="0.75" bottom="0.75" header="0.3" footer="0.3"/>
  <pageSetup paperSize="9" scale="71" orientation="portrait" r:id="rId1"/>
  <ignoredErrors>
    <ignoredError sqref="H3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4:F67"/>
  <sheetViews>
    <sheetView showGridLines="0" topLeftCell="A37" zoomScale="90" zoomScaleNormal="90" workbookViewId="0">
      <selection activeCell="J11" sqref="J11"/>
    </sheetView>
  </sheetViews>
  <sheetFormatPr baseColWidth="10" defaultColWidth="11.42578125" defaultRowHeight="12.75" x14ac:dyDescent="0.2"/>
  <cols>
    <col min="1" max="1" width="11.42578125" style="40"/>
    <col min="2" max="2" width="21.42578125" style="40" customWidth="1"/>
    <col min="3" max="3" width="30" style="40" customWidth="1"/>
    <col min="4" max="4" width="34.7109375" style="40" customWidth="1"/>
    <col min="5" max="5" width="21.42578125" style="41" customWidth="1"/>
    <col min="6" max="6" width="29.42578125" style="40" customWidth="1"/>
    <col min="7" max="16384" width="11.42578125" style="40"/>
  </cols>
  <sheetData>
    <row r="4" spans="2:6" ht="37.5" x14ac:dyDescent="0.2">
      <c r="B4" s="155" t="s">
        <v>283</v>
      </c>
      <c r="C4" s="155" t="s">
        <v>84</v>
      </c>
      <c r="D4" s="155" t="s">
        <v>80</v>
      </c>
      <c r="E4" s="156" t="s">
        <v>306</v>
      </c>
      <c r="F4" s="157" t="s">
        <v>182</v>
      </c>
    </row>
    <row r="5" spans="2:6" ht="14.25" x14ac:dyDescent="0.2">
      <c r="B5" s="111" t="s">
        <v>125</v>
      </c>
      <c r="C5" s="111" t="s">
        <v>100</v>
      </c>
      <c r="D5" s="111"/>
      <c r="E5" s="138">
        <v>4499.2399999999971</v>
      </c>
      <c r="F5" s="139"/>
    </row>
    <row r="6" spans="2:6" ht="14.25" x14ac:dyDescent="0.2">
      <c r="B6" s="111" t="s">
        <v>126</v>
      </c>
      <c r="C6" s="111" t="s">
        <v>101</v>
      </c>
      <c r="D6" s="111"/>
      <c r="E6" s="138">
        <v>3707.2299999999973</v>
      </c>
      <c r="F6" s="139"/>
    </row>
    <row r="7" spans="2:6" ht="14.25" x14ac:dyDescent="0.2">
      <c r="B7" s="111" t="s">
        <v>28</v>
      </c>
      <c r="C7" s="111" t="s">
        <v>96</v>
      </c>
      <c r="D7" s="111"/>
      <c r="E7" s="138">
        <v>4590.0499999999956</v>
      </c>
      <c r="F7" s="139"/>
    </row>
    <row r="8" spans="2:6" ht="14.25" x14ac:dyDescent="0.2">
      <c r="B8" s="111" t="s">
        <v>127</v>
      </c>
      <c r="C8" s="111" t="s">
        <v>97</v>
      </c>
      <c r="D8" s="111"/>
      <c r="E8" s="138">
        <v>5798.2899999999963</v>
      </c>
      <c r="F8" s="139"/>
    </row>
    <row r="9" spans="2:6" ht="14.25" x14ac:dyDescent="0.2">
      <c r="B9" s="111" t="s">
        <v>128</v>
      </c>
      <c r="C9" s="111" t="s">
        <v>98</v>
      </c>
      <c r="D9" s="111"/>
      <c r="E9" s="138">
        <v>1305.3700000000001</v>
      </c>
      <c r="F9" s="139"/>
    </row>
    <row r="10" spans="2:6" ht="14.25" x14ac:dyDescent="0.2">
      <c r="B10" s="111" t="s">
        <v>29</v>
      </c>
      <c r="C10" s="111" t="s">
        <v>99</v>
      </c>
      <c r="D10" s="111"/>
      <c r="E10" s="138">
        <v>1847.3700000000006</v>
      </c>
      <c r="F10" s="139"/>
    </row>
    <row r="11" spans="2:6" ht="15" x14ac:dyDescent="0.2">
      <c r="B11" s="140" t="s">
        <v>30</v>
      </c>
      <c r="C11" s="111" t="s">
        <v>91</v>
      </c>
      <c r="D11" s="140"/>
      <c r="E11" s="138">
        <v>6579.8399999999938</v>
      </c>
      <c r="F11" s="139"/>
    </row>
    <row r="12" spans="2:6" ht="14.25" x14ac:dyDescent="0.2">
      <c r="B12" s="111" t="s">
        <v>31</v>
      </c>
      <c r="C12" s="111" t="s">
        <v>92</v>
      </c>
      <c r="D12" s="111"/>
      <c r="E12" s="138">
        <v>2442.4099999999994</v>
      </c>
      <c r="F12" s="139"/>
    </row>
    <row r="13" spans="2:6" ht="14.25" x14ac:dyDescent="0.2">
      <c r="B13" s="111" t="s">
        <v>32</v>
      </c>
      <c r="C13" s="111" t="s">
        <v>93</v>
      </c>
      <c r="D13" s="141"/>
      <c r="E13" s="138">
        <v>1661.9100000000003</v>
      </c>
      <c r="F13" s="139"/>
    </row>
    <row r="14" spans="2:6" ht="14.25" x14ac:dyDescent="0.2">
      <c r="B14" s="111" t="s">
        <v>33</v>
      </c>
      <c r="C14" s="111" t="s">
        <v>94</v>
      </c>
      <c r="D14" s="111"/>
      <c r="E14" s="138">
        <v>5488.4349999999959</v>
      </c>
      <c r="F14" s="139"/>
    </row>
    <row r="15" spans="2:6" ht="14.25" x14ac:dyDescent="0.2">
      <c r="B15" s="142" t="s">
        <v>34</v>
      </c>
      <c r="C15" s="142" t="s">
        <v>172</v>
      </c>
      <c r="D15" s="142"/>
      <c r="E15" s="143">
        <v>0</v>
      </c>
      <c r="F15" s="142" t="s">
        <v>307</v>
      </c>
    </row>
    <row r="16" spans="2:6" ht="15" x14ac:dyDescent="0.2">
      <c r="B16" s="111" t="s">
        <v>129</v>
      </c>
      <c r="C16" s="111" t="s">
        <v>308</v>
      </c>
      <c r="D16" s="144"/>
      <c r="E16" s="138">
        <v>7716.114999999988</v>
      </c>
      <c r="F16" s="139"/>
    </row>
    <row r="17" spans="2:6" ht="14.25" x14ac:dyDescent="0.2">
      <c r="B17" s="111" t="s">
        <v>131</v>
      </c>
      <c r="C17" s="111" t="s">
        <v>260</v>
      </c>
      <c r="D17" s="111"/>
      <c r="E17" s="138">
        <v>7222.5074999999906</v>
      </c>
      <c r="F17" s="139"/>
    </row>
    <row r="18" spans="2:6" ht="15" x14ac:dyDescent="0.2">
      <c r="B18" s="111" t="s">
        <v>35</v>
      </c>
      <c r="C18" s="111" t="s">
        <v>86</v>
      </c>
      <c r="D18" s="144"/>
      <c r="E18" s="138">
        <v>7878.9799999999877</v>
      </c>
      <c r="F18" s="139"/>
    </row>
    <row r="19" spans="2:6" ht="15" x14ac:dyDescent="0.2">
      <c r="B19" s="111" t="s">
        <v>36</v>
      </c>
      <c r="C19" s="111" t="s">
        <v>87</v>
      </c>
      <c r="D19" s="144"/>
      <c r="E19" s="138">
        <v>6954.569999999987</v>
      </c>
      <c r="F19" s="139"/>
    </row>
    <row r="20" spans="2:6" ht="15" x14ac:dyDescent="0.2">
      <c r="B20" s="111" t="s">
        <v>132</v>
      </c>
      <c r="C20" s="111" t="s">
        <v>88</v>
      </c>
      <c r="D20" s="144"/>
      <c r="E20" s="138">
        <v>4639.9299999999939</v>
      </c>
      <c r="F20" s="139"/>
    </row>
    <row r="21" spans="2:6" ht="15" x14ac:dyDescent="0.2">
      <c r="B21" s="111" t="s">
        <v>133</v>
      </c>
      <c r="C21" s="111" t="s">
        <v>89</v>
      </c>
      <c r="D21" s="144"/>
      <c r="E21" s="138">
        <v>6021.9099999999899</v>
      </c>
      <c r="F21" s="139"/>
    </row>
    <row r="22" spans="2:6" ht="14.25" x14ac:dyDescent="0.2">
      <c r="B22" s="111" t="s">
        <v>45</v>
      </c>
      <c r="C22" s="111" t="s">
        <v>102</v>
      </c>
      <c r="D22" s="111"/>
      <c r="E22" s="138">
        <v>3156.4699999999984</v>
      </c>
      <c r="F22" s="139"/>
    </row>
    <row r="23" spans="2:6" ht="14.25" x14ac:dyDescent="0.2">
      <c r="B23" s="111" t="s">
        <v>46</v>
      </c>
      <c r="C23" s="111" t="s">
        <v>103</v>
      </c>
      <c r="D23" s="111"/>
      <c r="E23" s="138">
        <v>3890.4799999999987</v>
      </c>
      <c r="F23" s="139"/>
    </row>
    <row r="24" spans="2:6" ht="14.25" x14ac:dyDescent="0.2">
      <c r="B24" s="111" t="s">
        <v>47</v>
      </c>
      <c r="C24" s="111" t="s">
        <v>104</v>
      </c>
      <c r="D24" s="111"/>
      <c r="E24" s="138">
        <v>3564.2400000000002</v>
      </c>
      <c r="F24" s="139"/>
    </row>
    <row r="25" spans="2:6" ht="14.25" x14ac:dyDescent="0.2">
      <c r="B25" s="111" t="s">
        <v>48</v>
      </c>
      <c r="C25" s="111" t="s">
        <v>105</v>
      </c>
      <c r="D25" s="111"/>
      <c r="E25" s="138">
        <v>6449.5399999999945</v>
      </c>
      <c r="F25" s="139"/>
    </row>
    <row r="26" spans="2:6" ht="14.25" x14ac:dyDescent="0.2">
      <c r="B26" s="111" t="s">
        <v>50</v>
      </c>
      <c r="C26" s="111" t="s">
        <v>106</v>
      </c>
      <c r="D26" s="111"/>
      <c r="E26" s="138">
        <v>7675.8199999999897</v>
      </c>
      <c r="F26" s="139"/>
    </row>
    <row r="27" spans="2:6" ht="14.25" x14ac:dyDescent="0.2">
      <c r="B27" s="111" t="s">
        <v>51</v>
      </c>
      <c r="C27" s="111" t="s">
        <v>107</v>
      </c>
      <c r="D27" s="111"/>
      <c r="E27" s="138">
        <v>7851.3099999999822</v>
      </c>
      <c r="F27" s="139"/>
    </row>
    <row r="28" spans="2:6" ht="14.25" x14ac:dyDescent="0.2">
      <c r="B28" s="111" t="s">
        <v>52</v>
      </c>
      <c r="C28" s="111" t="s">
        <v>108</v>
      </c>
      <c r="D28" s="111"/>
      <c r="E28" s="138">
        <v>5434.5499999999902</v>
      </c>
      <c r="F28" s="139"/>
    </row>
    <row r="29" spans="2:6" ht="14.25" x14ac:dyDescent="0.2">
      <c r="B29" s="111" t="s">
        <v>55</v>
      </c>
      <c r="C29" s="111" t="s">
        <v>109</v>
      </c>
      <c r="D29" s="111"/>
      <c r="E29" s="138">
        <v>5868.589999999992</v>
      </c>
      <c r="F29" s="139"/>
    </row>
    <row r="30" spans="2:6" ht="14.25" x14ac:dyDescent="0.2">
      <c r="B30" s="111" t="s">
        <v>56</v>
      </c>
      <c r="C30" s="111" t="s">
        <v>110</v>
      </c>
      <c r="D30" s="111"/>
      <c r="E30" s="138">
        <v>7343.7299999999896</v>
      </c>
      <c r="F30" s="139"/>
    </row>
    <row r="31" spans="2:6" ht="14.25" x14ac:dyDescent="0.2">
      <c r="B31" s="111" t="s">
        <v>57</v>
      </c>
      <c r="C31" s="111" t="s">
        <v>111</v>
      </c>
      <c r="D31" s="111"/>
      <c r="E31" s="138">
        <v>7827.5499999999838</v>
      </c>
      <c r="F31" s="139"/>
    </row>
    <row r="32" spans="2:6" ht="14.25" x14ac:dyDescent="0.2">
      <c r="B32" s="111" t="s">
        <v>58</v>
      </c>
      <c r="C32" s="111" t="s">
        <v>112</v>
      </c>
      <c r="D32" s="111"/>
      <c r="E32" s="138">
        <v>7736.2999999999856</v>
      </c>
      <c r="F32" s="139"/>
    </row>
    <row r="33" spans="2:6" ht="14.25" x14ac:dyDescent="0.2">
      <c r="B33" s="111" t="s">
        <v>59</v>
      </c>
      <c r="C33" s="111" t="s">
        <v>113</v>
      </c>
      <c r="D33" s="111"/>
      <c r="E33" s="138">
        <v>5101.8499999999922</v>
      </c>
      <c r="F33" s="139"/>
    </row>
    <row r="34" spans="2:6" ht="14.25" x14ac:dyDescent="0.2">
      <c r="B34" s="111" t="s">
        <v>60</v>
      </c>
      <c r="C34" s="111" t="s">
        <v>114</v>
      </c>
      <c r="D34" s="111"/>
      <c r="E34" s="138">
        <v>2312.2899999999991</v>
      </c>
      <c r="F34" s="139"/>
    </row>
    <row r="35" spans="2:6" ht="14.25" x14ac:dyDescent="0.2">
      <c r="B35" s="111" t="s">
        <v>61</v>
      </c>
      <c r="C35" s="111" t="s">
        <v>115</v>
      </c>
      <c r="D35" s="111"/>
      <c r="E35" s="138">
        <v>2389</v>
      </c>
      <c r="F35" s="139"/>
    </row>
    <row r="36" spans="2:6" ht="15" x14ac:dyDescent="0.2">
      <c r="B36" s="111" t="s">
        <v>62</v>
      </c>
      <c r="C36" s="111" t="s">
        <v>116</v>
      </c>
      <c r="D36" s="140"/>
      <c r="E36" s="138">
        <v>2896.5799999999981</v>
      </c>
      <c r="F36" s="139"/>
    </row>
    <row r="37" spans="2:6" ht="15" x14ac:dyDescent="0.2">
      <c r="B37" s="111" t="s">
        <v>196</v>
      </c>
      <c r="C37" s="111" t="s">
        <v>261</v>
      </c>
      <c r="D37" s="140"/>
      <c r="E37" s="138">
        <v>7025.7699999999832</v>
      </c>
      <c r="F37" s="139"/>
    </row>
    <row r="38" spans="2:6" ht="15" x14ac:dyDescent="0.2">
      <c r="B38" s="111" t="s">
        <v>197</v>
      </c>
      <c r="C38" s="111" t="s">
        <v>262</v>
      </c>
      <c r="D38" s="140"/>
      <c r="E38" s="138">
        <v>7851.1899999999823</v>
      </c>
      <c r="F38" s="139"/>
    </row>
    <row r="39" spans="2:6" ht="15" x14ac:dyDescent="0.2">
      <c r="B39" s="111" t="s">
        <v>199</v>
      </c>
      <c r="C39" s="111" t="s">
        <v>263</v>
      </c>
      <c r="D39" s="140"/>
      <c r="E39" s="138">
        <v>7880.7199999999802</v>
      </c>
      <c r="F39" s="139"/>
    </row>
    <row r="40" spans="2:6" ht="15" x14ac:dyDescent="0.2">
      <c r="B40" s="111" t="s">
        <v>200</v>
      </c>
      <c r="C40" s="111" t="s">
        <v>264</v>
      </c>
      <c r="D40" s="140"/>
      <c r="E40" s="138">
        <v>7597.2699999999822</v>
      </c>
      <c r="F40" s="139"/>
    </row>
    <row r="41" spans="2:6" ht="15" x14ac:dyDescent="0.2">
      <c r="B41" s="111" t="s">
        <v>201</v>
      </c>
      <c r="C41" s="111" t="s">
        <v>265</v>
      </c>
      <c r="D41" s="140"/>
      <c r="E41" s="138">
        <v>1734.5500000000002</v>
      </c>
      <c r="F41" s="139"/>
    </row>
    <row r="42" spans="2:6" ht="15" x14ac:dyDescent="0.2">
      <c r="B42" s="111" t="s">
        <v>202</v>
      </c>
      <c r="C42" s="111" t="s">
        <v>266</v>
      </c>
      <c r="D42" s="140"/>
      <c r="E42" s="138">
        <v>846.1400000000001</v>
      </c>
      <c r="F42" s="139"/>
    </row>
    <row r="43" spans="2:6" ht="15" x14ac:dyDescent="0.2">
      <c r="B43" s="152" t="s">
        <v>286</v>
      </c>
      <c r="C43" s="152" t="s">
        <v>291</v>
      </c>
      <c r="D43" s="153"/>
      <c r="E43" s="138">
        <v>0</v>
      </c>
      <c r="F43" s="111" t="s">
        <v>290</v>
      </c>
    </row>
    <row r="44" spans="2:6" ht="15" x14ac:dyDescent="0.2">
      <c r="B44" s="152" t="s">
        <v>287</v>
      </c>
      <c r="C44" s="152" t="s">
        <v>292</v>
      </c>
      <c r="D44" s="153"/>
      <c r="E44" s="138">
        <v>0</v>
      </c>
      <c r="F44" s="111" t="s">
        <v>290</v>
      </c>
    </row>
    <row r="45" spans="2:6" ht="14.25" x14ac:dyDescent="0.2">
      <c r="B45" s="145" t="s">
        <v>37</v>
      </c>
      <c r="C45" s="147"/>
      <c r="D45" s="148" t="s">
        <v>134</v>
      </c>
      <c r="E45" s="138">
        <v>4499.2399999999971</v>
      </c>
      <c r="F45" s="139"/>
    </row>
    <row r="46" spans="2:6" ht="14.25" x14ac:dyDescent="0.2">
      <c r="B46" s="145" t="s">
        <v>135</v>
      </c>
      <c r="C46" s="147"/>
      <c r="D46" s="148" t="s">
        <v>136</v>
      </c>
      <c r="E46" s="138">
        <v>3707.2299999999973</v>
      </c>
      <c r="F46" s="139"/>
    </row>
    <row r="47" spans="2:6" ht="14.25" x14ac:dyDescent="0.2">
      <c r="B47" s="145" t="s">
        <v>38</v>
      </c>
      <c r="C47" s="147"/>
      <c r="D47" s="148" t="s">
        <v>137</v>
      </c>
      <c r="E47" s="138">
        <v>5194.1699999999964</v>
      </c>
      <c r="F47" s="139"/>
    </row>
    <row r="48" spans="2:6" ht="14.25" x14ac:dyDescent="0.2">
      <c r="B48" s="145" t="s">
        <v>39</v>
      </c>
      <c r="C48" s="147"/>
      <c r="D48" s="148" t="s">
        <v>138</v>
      </c>
      <c r="E48" s="138">
        <v>1576.3700000000003</v>
      </c>
      <c r="F48" s="139"/>
    </row>
    <row r="49" spans="2:6" ht="14.25" x14ac:dyDescent="0.2">
      <c r="B49" s="145" t="s">
        <v>40</v>
      </c>
      <c r="C49" s="147"/>
      <c r="D49" s="148" t="s">
        <v>117</v>
      </c>
      <c r="E49" s="138">
        <v>6579.8399999999938</v>
      </c>
      <c r="F49" s="139"/>
    </row>
    <row r="50" spans="2:6" ht="14.25" x14ac:dyDescent="0.2">
      <c r="B50" s="145" t="s">
        <v>41</v>
      </c>
      <c r="C50" s="147"/>
      <c r="D50" s="148" t="s">
        <v>139</v>
      </c>
      <c r="E50" s="138">
        <v>2442.4099999999994</v>
      </c>
      <c r="F50" s="139"/>
    </row>
    <row r="51" spans="2:6" ht="14.25" x14ac:dyDescent="0.2">
      <c r="B51" s="145" t="s">
        <v>42</v>
      </c>
      <c r="C51" s="147"/>
      <c r="D51" s="148" t="s">
        <v>140</v>
      </c>
      <c r="E51" s="138">
        <v>1661.9100000000003</v>
      </c>
      <c r="F51" s="139"/>
    </row>
    <row r="52" spans="2:6" ht="14.25" x14ac:dyDescent="0.2">
      <c r="B52" s="145" t="s">
        <v>43</v>
      </c>
      <c r="C52" s="111"/>
      <c r="D52" s="148" t="s">
        <v>118</v>
      </c>
      <c r="E52" s="138">
        <v>5488.4349999999959</v>
      </c>
      <c r="F52" s="139"/>
    </row>
    <row r="53" spans="2:6" ht="14.25" x14ac:dyDescent="0.2">
      <c r="B53" s="149" t="s">
        <v>141</v>
      </c>
      <c r="C53" s="142"/>
      <c r="D53" s="150" t="s">
        <v>309</v>
      </c>
      <c r="E53" s="143">
        <v>0</v>
      </c>
      <c r="F53" s="142" t="s">
        <v>307</v>
      </c>
    </row>
    <row r="54" spans="2:6" ht="14.25" x14ac:dyDescent="0.2">
      <c r="B54" s="145" t="s">
        <v>143</v>
      </c>
      <c r="C54" s="111"/>
      <c r="D54" s="148" t="s">
        <v>144</v>
      </c>
      <c r="E54" s="138">
        <v>7716.114999999988</v>
      </c>
      <c r="F54" s="139"/>
    </row>
    <row r="55" spans="2:6" ht="14.25" x14ac:dyDescent="0.2">
      <c r="B55" s="145" t="s">
        <v>145</v>
      </c>
      <c r="C55" s="111"/>
      <c r="D55" s="148" t="s">
        <v>310</v>
      </c>
      <c r="E55" s="138">
        <v>7222.5074999999906</v>
      </c>
      <c r="F55" s="139"/>
    </row>
    <row r="56" spans="2:6" ht="14.25" x14ac:dyDescent="0.2">
      <c r="B56" s="145" t="s">
        <v>147</v>
      </c>
      <c r="C56" s="111"/>
      <c r="D56" s="148" t="s">
        <v>148</v>
      </c>
      <c r="E56" s="138">
        <v>7416.7749999999869</v>
      </c>
      <c r="F56" s="139"/>
    </row>
    <row r="57" spans="2:6" ht="14.25" x14ac:dyDescent="0.2">
      <c r="B57" s="145" t="s">
        <v>44</v>
      </c>
      <c r="C57" s="111"/>
      <c r="D57" s="148" t="s">
        <v>149</v>
      </c>
      <c r="E57" s="138">
        <v>5330.9199999999919</v>
      </c>
      <c r="F57" s="139"/>
    </row>
    <row r="58" spans="2:6" ht="14.25" x14ac:dyDescent="0.2">
      <c r="B58" s="145" t="s">
        <v>49</v>
      </c>
      <c r="C58" s="151"/>
      <c r="D58" s="148" t="s">
        <v>119</v>
      </c>
      <c r="E58" s="138">
        <v>4265.1824999999981</v>
      </c>
      <c r="F58" s="139"/>
    </row>
    <row r="59" spans="2:6" ht="14.25" x14ac:dyDescent="0.2">
      <c r="B59" s="145" t="s">
        <v>53</v>
      </c>
      <c r="C59" s="151"/>
      <c r="D59" s="148" t="s">
        <v>120</v>
      </c>
      <c r="E59" s="138">
        <v>6987.2266666666546</v>
      </c>
      <c r="F59" s="139"/>
    </row>
    <row r="60" spans="2:6" ht="14.25" x14ac:dyDescent="0.2">
      <c r="B60" s="145" t="s">
        <v>54</v>
      </c>
      <c r="C60" s="151"/>
      <c r="D60" s="148" t="s">
        <v>121</v>
      </c>
      <c r="E60" s="138">
        <v>6987.2266666666546</v>
      </c>
      <c r="F60" s="139"/>
    </row>
    <row r="61" spans="2:6" ht="15" x14ac:dyDescent="0.2">
      <c r="B61" s="145" t="s">
        <v>63</v>
      </c>
      <c r="C61" s="146"/>
      <c r="D61" s="145" t="s">
        <v>122</v>
      </c>
      <c r="E61" s="138">
        <v>7194.0424999999877</v>
      </c>
      <c r="F61" s="139"/>
    </row>
    <row r="62" spans="2:6" ht="15" x14ac:dyDescent="0.2">
      <c r="B62" s="145" t="s">
        <v>64</v>
      </c>
      <c r="C62" s="146"/>
      <c r="D62" s="145" t="s">
        <v>123</v>
      </c>
      <c r="E62" s="138">
        <v>3174.9299999999976</v>
      </c>
      <c r="F62" s="139"/>
    </row>
    <row r="63" spans="2:6" ht="14.25" x14ac:dyDescent="0.2">
      <c r="B63" s="145" t="s">
        <v>198</v>
      </c>
      <c r="C63" s="151"/>
      <c r="D63" s="145" t="s">
        <v>195</v>
      </c>
      <c r="E63" s="138">
        <v>7438.4799999999832</v>
      </c>
      <c r="F63" s="139"/>
    </row>
    <row r="64" spans="2:6" ht="14.25" x14ac:dyDescent="0.2">
      <c r="B64" s="145" t="s">
        <v>203</v>
      </c>
      <c r="C64" s="151"/>
      <c r="D64" s="148" t="s">
        <v>311</v>
      </c>
      <c r="E64" s="138">
        <v>7738.9949999999808</v>
      </c>
      <c r="F64" s="139"/>
    </row>
    <row r="65" spans="2:6" ht="14.25" x14ac:dyDescent="0.2">
      <c r="B65" s="145" t="s">
        <v>204</v>
      </c>
      <c r="C65" s="151"/>
      <c r="D65" s="148" t="s">
        <v>312</v>
      </c>
      <c r="E65" s="138">
        <v>1290.3450000000003</v>
      </c>
      <c r="F65" s="139"/>
    </row>
    <row r="66" spans="2:6" ht="15" x14ac:dyDescent="0.2">
      <c r="B66" s="154" t="s">
        <v>288</v>
      </c>
      <c r="C66" s="153"/>
      <c r="D66" s="154" t="s">
        <v>293</v>
      </c>
      <c r="E66" s="138">
        <v>0</v>
      </c>
      <c r="F66" s="111" t="s">
        <v>290</v>
      </c>
    </row>
    <row r="67" spans="2:6" ht="15" x14ac:dyDescent="0.2">
      <c r="B67" s="154" t="s">
        <v>289</v>
      </c>
      <c r="C67" s="153"/>
      <c r="D67" s="154" t="s">
        <v>294</v>
      </c>
      <c r="E67" s="138">
        <v>0</v>
      </c>
      <c r="F67" s="111" t="s">
        <v>290</v>
      </c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1:I135"/>
  <sheetViews>
    <sheetView showGridLines="0" workbookViewId="0">
      <selection activeCell="B5" sqref="B5:E29"/>
    </sheetView>
  </sheetViews>
  <sheetFormatPr baseColWidth="10" defaultRowHeight="12.75" x14ac:dyDescent="0.2"/>
  <cols>
    <col min="2" max="2" width="20.7109375" customWidth="1"/>
    <col min="3" max="3" width="45.28515625" style="38" customWidth="1"/>
    <col min="4" max="4" width="26.85546875" style="3" customWidth="1"/>
    <col min="5" max="5" width="22.140625" style="38" customWidth="1"/>
    <col min="6" max="6" width="2.42578125" style="3" customWidth="1"/>
    <col min="7" max="7" width="18.85546875" style="36" customWidth="1"/>
    <col min="8" max="8" width="15.28515625" style="3" customWidth="1"/>
    <col min="9" max="9" width="16.28515625" style="3" customWidth="1"/>
  </cols>
  <sheetData>
    <row r="1" spans="2:9" s="2" customFormat="1" x14ac:dyDescent="0.2">
      <c r="C1" s="39"/>
      <c r="D1" s="36"/>
      <c r="E1" s="39"/>
      <c r="F1" s="36"/>
      <c r="G1" s="36"/>
      <c r="H1" s="36"/>
      <c r="I1" s="36"/>
    </row>
    <row r="2" spans="2:9" s="2" customFormat="1" x14ac:dyDescent="0.2">
      <c r="C2" s="39"/>
      <c r="D2" s="36"/>
      <c r="E2" s="39"/>
      <c r="F2" s="36"/>
      <c r="G2" s="36"/>
      <c r="H2" s="36"/>
      <c r="I2" s="36"/>
    </row>
    <row r="3" spans="2:9" s="2" customFormat="1" x14ac:dyDescent="0.2">
      <c r="B3"/>
      <c r="C3" s="8"/>
      <c r="D3" s="8"/>
      <c r="E3"/>
      <c r="F3" s="36"/>
      <c r="G3" s="36"/>
      <c r="H3" s="36"/>
      <c r="I3" s="36"/>
    </row>
    <row r="4" spans="2:9" s="2" customFormat="1" x14ac:dyDescent="0.2">
      <c r="B4"/>
      <c r="C4" s="8"/>
      <c r="D4" s="8"/>
      <c r="E4"/>
      <c r="F4" s="36"/>
      <c r="G4" s="36"/>
      <c r="H4" s="36"/>
      <c r="I4" s="36"/>
    </row>
    <row r="5" spans="2:9" s="2" customFormat="1" ht="26.45" customHeight="1" x14ac:dyDescent="0.2">
      <c r="B5" s="213" t="s">
        <v>296</v>
      </c>
      <c r="C5" s="213"/>
      <c r="D5" s="213"/>
      <c r="E5" s="213"/>
      <c r="F5" s="36"/>
      <c r="G5" s="36"/>
      <c r="H5" s="36"/>
      <c r="I5" s="36"/>
    </row>
    <row r="6" spans="2:9" s="2" customFormat="1" ht="16.899999999999999" customHeight="1" x14ac:dyDescent="0.2">
      <c r="B6" s="137" t="s">
        <v>161</v>
      </c>
      <c r="C6" s="136" t="s">
        <v>297</v>
      </c>
      <c r="D6" s="136" t="s">
        <v>298</v>
      </c>
      <c r="E6" s="137" t="s">
        <v>298</v>
      </c>
      <c r="F6" s="36"/>
      <c r="G6" s="36"/>
      <c r="H6" s="36"/>
      <c r="I6" s="36"/>
    </row>
    <row r="7" spans="2:9" s="2" customFormat="1" x14ac:dyDescent="0.2">
      <c r="B7" s="120" t="s">
        <v>299</v>
      </c>
      <c r="C7" s="121">
        <v>10</v>
      </c>
      <c r="D7" s="122">
        <v>5843.10299999995</v>
      </c>
      <c r="E7" s="112"/>
      <c r="F7" s="36"/>
      <c r="G7" s="36"/>
      <c r="H7" s="36"/>
      <c r="I7" s="36"/>
    </row>
    <row r="8" spans="2:9" s="2" customFormat="1" x14ac:dyDescent="0.2">
      <c r="B8" s="120" t="s">
        <v>171</v>
      </c>
      <c r="C8" s="121">
        <v>3</v>
      </c>
      <c r="D8" s="122">
        <v>6987.2266666666901</v>
      </c>
      <c r="E8" s="112"/>
      <c r="F8" s="36"/>
      <c r="G8" s="36"/>
      <c r="H8" s="36"/>
      <c r="I8" s="36"/>
    </row>
    <row r="9" spans="2:9" s="2" customFormat="1" x14ac:dyDescent="0.2">
      <c r="B9" s="123" t="s">
        <v>164</v>
      </c>
      <c r="C9" s="123">
        <v>3</v>
      </c>
      <c r="D9" s="124"/>
      <c r="E9" s="134">
        <v>3561.3866666666622</v>
      </c>
      <c r="F9" s="36"/>
      <c r="G9" s="36"/>
      <c r="H9" s="36"/>
      <c r="I9" s="36"/>
    </row>
    <row r="10" spans="2:9" s="2" customFormat="1" x14ac:dyDescent="0.2">
      <c r="B10" s="125" t="s">
        <v>163</v>
      </c>
      <c r="C10" s="123">
        <v>4</v>
      </c>
      <c r="D10" s="124"/>
      <c r="E10" s="134">
        <v>3385.2699999999945</v>
      </c>
      <c r="F10" s="36"/>
      <c r="G10" s="36"/>
      <c r="H10" s="36"/>
      <c r="I10" s="36"/>
    </row>
    <row r="11" spans="2:9" s="2" customFormat="1" x14ac:dyDescent="0.2">
      <c r="B11" s="125" t="s">
        <v>165</v>
      </c>
      <c r="C11" s="123">
        <v>2</v>
      </c>
      <c r="D11" s="124"/>
      <c r="E11" s="134">
        <v>4103.2349999999969</v>
      </c>
      <c r="F11" s="36"/>
      <c r="G11" s="36"/>
      <c r="H11" s="36"/>
      <c r="I11" s="36"/>
    </row>
    <row r="12" spans="2:9" s="2" customFormat="1" x14ac:dyDescent="0.2">
      <c r="B12" s="125" t="s">
        <v>94</v>
      </c>
      <c r="C12" s="123">
        <v>4</v>
      </c>
      <c r="D12" s="124"/>
      <c r="E12" s="134">
        <v>5488.4350000000049</v>
      </c>
      <c r="F12" s="36"/>
      <c r="G12" s="36"/>
      <c r="H12" s="36"/>
      <c r="I12" s="36"/>
    </row>
    <row r="13" spans="2:9" s="2" customFormat="1" x14ac:dyDescent="0.2">
      <c r="B13" s="125" t="s">
        <v>119</v>
      </c>
      <c r="C13" s="123">
        <v>4</v>
      </c>
      <c r="D13" s="124"/>
      <c r="E13" s="134">
        <v>4265.1825000000008</v>
      </c>
      <c r="F13" s="36"/>
      <c r="G13" s="36"/>
      <c r="H13" s="36"/>
      <c r="I13" s="36"/>
    </row>
    <row r="14" spans="2:9" s="2" customFormat="1" x14ac:dyDescent="0.2">
      <c r="B14" s="125" t="s">
        <v>122</v>
      </c>
      <c r="C14" s="123">
        <v>4</v>
      </c>
      <c r="D14" s="124"/>
      <c r="E14" s="134">
        <v>7194.042500000045</v>
      </c>
      <c r="F14" s="36"/>
      <c r="G14" s="36"/>
      <c r="H14" s="36"/>
      <c r="I14" s="36"/>
    </row>
    <row r="15" spans="2:9" s="2" customFormat="1" x14ac:dyDescent="0.2">
      <c r="B15" s="125" t="s">
        <v>123</v>
      </c>
      <c r="C15" s="123">
        <v>4</v>
      </c>
      <c r="D15" s="124"/>
      <c r="E15" s="134">
        <v>3174.9299999999917</v>
      </c>
      <c r="F15" s="36"/>
      <c r="G15" s="36"/>
      <c r="H15" s="36"/>
      <c r="I15" s="36"/>
    </row>
    <row r="16" spans="2:9" s="2" customFormat="1" x14ac:dyDescent="0.2">
      <c r="B16" s="120" t="s">
        <v>90</v>
      </c>
      <c r="C16" s="121">
        <v>2</v>
      </c>
      <c r="D16" s="122">
        <v>6860.8599999999906</v>
      </c>
      <c r="E16" s="112"/>
      <c r="F16" s="36"/>
      <c r="G16" s="36"/>
      <c r="H16" s="36"/>
      <c r="I16" s="36"/>
    </row>
    <row r="17" spans="2:9" s="2" customFormat="1" x14ac:dyDescent="0.2">
      <c r="B17" s="120" t="s">
        <v>166</v>
      </c>
      <c r="C17" s="121">
        <v>2</v>
      </c>
      <c r="D17" s="122">
        <v>7584.1549999999907</v>
      </c>
      <c r="E17" s="112"/>
      <c r="F17" s="36"/>
      <c r="G17" s="36"/>
      <c r="H17" s="36"/>
      <c r="I17" s="36"/>
    </row>
    <row r="18" spans="2:9" s="2" customFormat="1" x14ac:dyDescent="0.2">
      <c r="B18" s="120" t="s">
        <v>167</v>
      </c>
      <c r="C18" s="121">
        <v>4</v>
      </c>
      <c r="D18" s="122">
        <v>7733.2100000000455</v>
      </c>
      <c r="E18" s="112"/>
      <c r="F18" s="36"/>
      <c r="G18" s="36"/>
      <c r="H18" s="36"/>
      <c r="I18" s="36"/>
    </row>
    <row r="19" spans="2:9" s="2" customFormat="1" x14ac:dyDescent="0.2">
      <c r="B19" s="120" t="s">
        <v>168</v>
      </c>
      <c r="C19" s="121">
        <v>2</v>
      </c>
      <c r="D19" s="122">
        <v>7483.5999999999913</v>
      </c>
      <c r="E19" s="112"/>
      <c r="F19" s="36"/>
      <c r="G19" s="36"/>
      <c r="H19" s="36"/>
      <c r="I19" s="36"/>
    </row>
    <row r="20" spans="2:9" s="2" customFormat="1" x14ac:dyDescent="0.2">
      <c r="B20" s="120" t="s">
        <v>169</v>
      </c>
      <c r="C20" s="121">
        <v>2</v>
      </c>
      <c r="D20" s="122">
        <v>7852.7499999999891</v>
      </c>
      <c r="E20" s="112"/>
      <c r="F20" s="36"/>
      <c r="G20" s="36"/>
      <c r="H20" s="36"/>
      <c r="I20" s="36"/>
    </row>
    <row r="21" spans="2:9" s="2" customFormat="1" x14ac:dyDescent="0.2">
      <c r="B21" s="120" t="s">
        <v>170</v>
      </c>
      <c r="C21" s="121">
        <v>2</v>
      </c>
      <c r="D21" s="122">
        <v>7777.8049999999794</v>
      </c>
      <c r="E21" s="112"/>
      <c r="F21" s="36"/>
      <c r="G21" s="36"/>
      <c r="H21" s="36"/>
      <c r="I21" s="36"/>
    </row>
    <row r="22" spans="2:9" s="2" customFormat="1" x14ac:dyDescent="0.2">
      <c r="B22" s="126" t="s">
        <v>300</v>
      </c>
      <c r="C22" s="126">
        <f>SUM(C7:C21)</f>
        <v>52</v>
      </c>
      <c r="D22" s="135">
        <v>58122.709666666618</v>
      </c>
      <c r="E22" s="135">
        <v>31172.481666666703</v>
      </c>
      <c r="F22" s="36"/>
      <c r="G22" s="36"/>
      <c r="H22" s="36"/>
      <c r="I22" s="36"/>
    </row>
    <row r="23" spans="2:9" s="2" customFormat="1" x14ac:dyDescent="0.2">
      <c r="B23"/>
      <c r="C23" s="8"/>
      <c r="D23" s="8"/>
      <c r="E23"/>
      <c r="F23" s="36"/>
      <c r="G23" s="36"/>
      <c r="H23" s="36"/>
      <c r="I23" s="36"/>
    </row>
    <row r="24" spans="2:9" s="2" customFormat="1" x14ac:dyDescent="0.2">
      <c r="B24"/>
      <c r="C24" s="8"/>
      <c r="D24" s="8"/>
      <c r="E24"/>
      <c r="F24" s="36"/>
      <c r="G24" s="36"/>
      <c r="H24" s="36"/>
      <c r="I24" s="36"/>
    </row>
    <row r="25" spans="2:9" s="2" customFormat="1" x14ac:dyDescent="0.2">
      <c r="B25"/>
      <c r="C25" s="112"/>
      <c r="D25" s="127" t="s">
        <v>301</v>
      </c>
      <c r="E25" s="127" t="s">
        <v>302</v>
      </c>
      <c r="F25" s="36"/>
      <c r="G25" s="36"/>
      <c r="H25" s="36"/>
      <c r="I25" s="36"/>
    </row>
    <row r="26" spans="2:9" s="2" customFormat="1" x14ac:dyDescent="0.2">
      <c r="B26"/>
      <c r="C26" s="120" t="s">
        <v>303</v>
      </c>
      <c r="D26" s="128">
        <v>58122.709666666618</v>
      </c>
      <c r="E26" s="128">
        <v>65.090525927312498</v>
      </c>
      <c r="F26" s="36"/>
      <c r="G26" s="36"/>
      <c r="H26" s="36"/>
      <c r="I26" s="36"/>
    </row>
    <row r="27" spans="2:9" s="2" customFormat="1" x14ac:dyDescent="0.2">
      <c r="B27"/>
      <c r="C27" s="129" t="s">
        <v>304</v>
      </c>
      <c r="D27" s="130">
        <v>31172.481666666703</v>
      </c>
      <c r="E27" s="128">
        <v>34.909474072687516</v>
      </c>
      <c r="F27" s="36"/>
      <c r="G27" s="36"/>
      <c r="H27" s="36"/>
      <c r="I27" s="36"/>
    </row>
    <row r="28" spans="2:9" s="2" customFormat="1" x14ac:dyDescent="0.2">
      <c r="B28"/>
      <c r="C28" s="50" t="s">
        <v>162</v>
      </c>
      <c r="D28" s="131">
        <v>89295.191333333321</v>
      </c>
      <c r="E28" s="132"/>
      <c r="F28" s="36"/>
      <c r="G28" s="36"/>
      <c r="H28" s="36"/>
      <c r="I28" s="36"/>
    </row>
    <row r="29" spans="2:9" s="2" customFormat="1" x14ac:dyDescent="0.2">
      <c r="B29" s="133" t="s">
        <v>305</v>
      </c>
      <c r="C29" s="133">
        <f>((E26*2.86)+(E27*1.84))/100</f>
        <v>2.5039233644585877</v>
      </c>
      <c r="D29" s="110"/>
      <c r="E29" s="110"/>
      <c r="F29" s="36"/>
      <c r="G29" s="36"/>
      <c r="H29" s="36"/>
      <c r="I29" s="36"/>
    </row>
    <row r="30" spans="2:9" s="2" customFormat="1" x14ac:dyDescent="0.2">
      <c r="B30"/>
      <c r="C30" s="8"/>
      <c r="D30" s="8"/>
      <c r="E30"/>
      <c r="F30" s="36"/>
      <c r="G30" s="36"/>
      <c r="H30" s="36"/>
      <c r="I30" s="36"/>
    </row>
    <row r="31" spans="2:9" s="2" customFormat="1" x14ac:dyDescent="0.2">
      <c r="B31"/>
      <c r="C31" s="8"/>
      <c r="D31" s="8"/>
      <c r="E31"/>
      <c r="F31" s="36"/>
      <c r="G31" s="36"/>
      <c r="H31" s="36"/>
      <c r="I31" s="36"/>
    </row>
    <row r="32" spans="2:9" s="2" customFormat="1" x14ac:dyDescent="0.2">
      <c r="C32" s="39"/>
      <c r="D32" s="36"/>
      <c r="E32" s="39"/>
      <c r="F32" s="36"/>
      <c r="G32" s="36"/>
      <c r="H32" s="36"/>
      <c r="I32" s="36"/>
    </row>
    <row r="33" spans="3:9" s="2" customFormat="1" x14ac:dyDescent="0.2">
      <c r="C33" s="39"/>
      <c r="D33" s="36"/>
      <c r="E33" s="39"/>
      <c r="F33" s="36"/>
      <c r="G33" s="36"/>
      <c r="H33" s="36"/>
      <c r="I33" s="36"/>
    </row>
    <row r="34" spans="3:9" s="2" customFormat="1" x14ac:dyDescent="0.2">
      <c r="C34" s="39"/>
      <c r="D34" s="36"/>
      <c r="E34" s="39"/>
      <c r="F34" s="36"/>
      <c r="G34" s="36"/>
      <c r="H34" s="36"/>
      <c r="I34" s="36"/>
    </row>
    <row r="35" spans="3:9" s="2" customFormat="1" x14ac:dyDescent="0.2">
      <c r="C35" s="39"/>
      <c r="D35" s="36"/>
      <c r="E35" s="39"/>
      <c r="F35" s="36"/>
      <c r="G35" s="36"/>
      <c r="H35" s="36"/>
      <c r="I35" s="36"/>
    </row>
    <row r="36" spans="3:9" s="2" customFormat="1" x14ac:dyDescent="0.2">
      <c r="C36" s="39"/>
      <c r="D36" s="36"/>
      <c r="E36" s="39"/>
      <c r="F36" s="36"/>
      <c r="G36" s="36"/>
      <c r="H36" s="36"/>
      <c r="I36" s="36"/>
    </row>
    <row r="37" spans="3:9" s="2" customFormat="1" x14ac:dyDescent="0.2">
      <c r="C37" s="39"/>
      <c r="D37" s="36"/>
      <c r="E37" s="39"/>
      <c r="F37" s="36"/>
      <c r="G37" s="36"/>
      <c r="H37" s="36"/>
      <c r="I37" s="36"/>
    </row>
    <row r="38" spans="3:9" s="2" customFormat="1" x14ac:dyDescent="0.2">
      <c r="C38" s="39"/>
      <c r="D38" s="36"/>
      <c r="E38" s="39"/>
      <c r="F38" s="36"/>
      <c r="G38" s="36"/>
      <c r="H38" s="36"/>
      <c r="I38" s="36"/>
    </row>
    <row r="39" spans="3:9" s="2" customFormat="1" x14ac:dyDescent="0.2">
      <c r="C39" s="39"/>
      <c r="D39" s="36"/>
      <c r="E39" s="39"/>
      <c r="F39" s="36"/>
      <c r="G39" s="36"/>
      <c r="H39" s="36"/>
      <c r="I39" s="36"/>
    </row>
    <row r="40" spans="3:9" s="2" customFormat="1" x14ac:dyDescent="0.2">
      <c r="C40" s="39"/>
      <c r="D40" s="36"/>
      <c r="E40" s="39"/>
      <c r="F40" s="36"/>
      <c r="G40" s="36"/>
      <c r="H40" s="36"/>
      <c r="I40" s="36"/>
    </row>
    <row r="41" spans="3:9" s="2" customFormat="1" x14ac:dyDescent="0.2">
      <c r="C41" s="39"/>
      <c r="D41" s="36"/>
      <c r="E41" s="39"/>
      <c r="F41" s="36"/>
      <c r="G41" s="36"/>
      <c r="H41" s="36"/>
      <c r="I41" s="36"/>
    </row>
    <row r="42" spans="3:9" s="2" customFormat="1" x14ac:dyDescent="0.2">
      <c r="C42" s="39"/>
      <c r="D42" s="36"/>
      <c r="E42" s="39"/>
      <c r="F42" s="36"/>
      <c r="G42" s="36"/>
      <c r="H42" s="36"/>
      <c r="I42" s="36"/>
    </row>
    <row r="43" spans="3:9" s="2" customFormat="1" x14ac:dyDescent="0.2">
      <c r="C43" s="39"/>
      <c r="D43" s="36"/>
      <c r="E43" s="39"/>
      <c r="F43" s="36"/>
      <c r="G43" s="36"/>
      <c r="H43" s="36"/>
      <c r="I43" s="36"/>
    </row>
    <row r="44" spans="3:9" s="2" customFormat="1" x14ac:dyDescent="0.2">
      <c r="C44" s="39"/>
      <c r="D44" s="36"/>
      <c r="E44" s="39"/>
      <c r="F44" s="36"/>
      <c r="G44" s="36"/>
      <c r="H44" s="36"/>
      <c r="I44" s="36"/>
    </row>
    <row r="45" spans="3:9" s="2" customFormat="1" x14ac:dyDescent="0.2">
      <c r="C45" s="39"/>
      <c r="D45" s="36"/>
      <c r="E45" s="39"/>
      <c r="F45" s="36"/>
      <c r="G45" s="36"/>
      <c r="H45" s="36"/>
      <c r="I45" s="36"/>
    </row>
    <row r="46" spans="3:9" s="2" customFormat="1" x14ac:dyDescent="0.2">
      <c r="C46" s="39"/>
      <c r="D46" s="36"/>
      <c r="E46" s="39"/>
      <c r="F46" s="36"/>
      <c r="G46" s="36"/>
      <c r="H46" s="36"/>
      <c r="I46" s="36"/>
    </row>
    <row r="47" spans="3:9" s="2" customFormat="1" x14ac:dyDescent="0.2">
      <c r="C47" s="39"/>
      <c r="D47" s="36"/>
      <c r="E47" s="39"/>
      <c r="F47" s="36"/>
      <c r="G47" s="36"/>
      <c r="H47" s="36"/>
      <c r="I47" s="36"/>
    </row>
    <row r="48" spans="3:9" s="2" customFormat="1" x14ac:dyDescent="0.2">
      <c r="C48" s="39"/>
      <c r="D48" s="36"/>
      <c r="E48" s="39"/>
      <c r="F48" s="36"/>
      <c r="G48" s="36"/>
      <c r="H48" s="36"/>
      <c r="I48" s="36"/>
    </row>
    <row r="49" spans="3:9" s="2" customFormat="1" x14ac:dyDescent="0.2">
      <c r="C49" s="39"/>
      <c r="D49" s="36"/>
      <c r="E49" s="39"/>
      <c r="F49" s="36"/>
      <c r="G49" s="36"/>
      <c r="H49" s="36"/>
      <c r="I49" s="36"/>
    </row>
    <row r="50" spans="3:9" s="2" customFormat="1" x14ac:dyDescent="0.2">
      <c r="C50" s="39"/>
      <c r="D50" s="36"/>
      <c r="E50" s="39"/>
      <c r="F50" s="36"/>
      <c r="G50" s="36"/>
      <c r="H50" s="36"/>
      <c r="I50" s="36"/>
    </row>
    <row r="51" spans="3:9" s="2" customFormat="1" x14ac:dyDescent="0.2">
      <c r="C51" s="39"/>
      <c r="D51" s="36"/>
      <c r="E51" s="39"/>
      <c r="F51" s="36"/>
      <c r="G51" s="36"/>
      <c r="H51" s="36"/>
      <c r="I51" s="36"/>
    </row>
    <row r="52" spans="3:9" s="2" customFormat="1" x14ac:dyDescent="0.2">
      <c r="C52" s="39"/>
      <c r="D52" s="36"/>
      <c r="E52" s="39"/>
      <c r="F52" s="36"/>
      <c r="G52" s="36"/>
      <c r="H52" s="36"/>
      <c r="I52" s="36"/>
    </row>
    <row r="53" spans="3:9" s="2" customFormat="1" x14ac:dyDescent="0.2">
      <c r="C53" s="39"/>
      <c r="D53" s="36"/>
      <c r="E53" s="39"/>
      <c r="F53" s="36"/>
      <c r="G53" s="36"/>
      <c r="H53" s="36"/>
      <c r="I53" s="36"/>
    </row>
    <row r="54" spans="3:9" s="2" customFormat="1" x14ac:dyDescent="0.2">
      <c r="C54" s="39"/>
      <c r="D54" s="36"/>
      <c r="E54" s="39"/>
      <c r="F54" s="36"/>
      <c r="G54" s="36"/>
      <c r="H54" s="36"/>
      <c r="I54" s="36"/>
    </row>
    <row r="55" spans="3:9" s="2" customFormat="1" x14ac:dyDescent="0.2">
      <c r="C55" s="39"/>
      <c r="D55" s="36"/>
      <c r="E55" s="39"/>
      <c r="F55" s="36"/>
      <c r="G55" s="36"/>
      <c r="H55" s="36"/>
      <c r="I55" s="36"/>
    </row>
    <row r="56" spans="3:9" s="2" customFormat="1" x14ac:dyDescent="0.2">
      <c r="C56" s="39"/>
      <c r="D56" s="36"/>
      <c r="E56" s="39"/>
      <c r="F56" s="36"/>
      <c r="G56" s="36"/>
      <c r="H56" s="36"/>
      <c r="I56" s="36"/>
    </row>
    <row r="57" spans="3:9" s="2" customFormat="1" x14ac:dyDescent="0.2">
      <c r="C57" s="39"/>
      <c r="D57" s="36"/>
      <c r="E57" s="39"/>
      <c r="F57" s="36"/>
      <c r="G57" s="36"/>
      <c r="H57" s="36"/>
      <c r="I57" s="36"/>
    </row>
    <row r="58" spans="3:9" s="2" customFormat="1" x14ac:dyDescent="0.2">
      <c r="C58" s="39"/>
      <c r="D58" s="36"/>
      <c r="E58" s="39"/>
      <c r="F58" s="36"/>
      <c r="G58" s="36"/>
      <c r="H58" s="36"/>
      <c r="I58" s="36"/>
    </row>
    <row r="59" spans="3:9" s="2" customFormat="1" x14ac:dyDescent="0.2">
      <c r="C59" s="39"/>
      <c r="D59" s="36"/>
      <c r="E59" s="39"/>
      <c r="F59" s="36"/>
      <c r="G59" s="36"/>
      <c r="H59" s="36"/>
      <c r="I59" s="36"/>
    </row>
    <row r="60" spans="3:9" s="2" customFormat="1" x14ac:dyDescent="0.2">
      <c r="C60" s="39"/>
      <c r="D60" s="36"/>
      <c r="E60" s="39"/>
      <c r="F60" s="36"/>
      <c r="G60" s="36"/>
      <c r="H60" s="36"/>
      <c r="I60" s="36"/>
    </row>
    <row r="61" spans="3:9" s="2" customFormat="1" x14ac:dyDescent="0.2">
      <c r="C61" s="39"/>
      <c r="D61" s="36"/>
      <c r="E61" s="39"/>
      <c r="F61" s="36"/>
      <c r="G61" s="36"/>
      <c r="H61" s="36"/>
      <c r="I61" s="36"/>
    </row>
    <row r="62" spans="3:9" s="2" customFormat="1" x14ac:dyDescent="0.2">
      <c r="C62" s="39"/>
      <c r="D62" s="36"/>
      <c r="E62" s="39"/>
      <c r="F62" s="36"/>
      <c r="G62" s="36"/>
      <c r="H62" s="36"/>
      <c r="I62" s="36"/>
    </row>
    <row r="63" spans="3:9" s="2" customFormat="1" x14ac:dyDescent="0.2">
      <c r="C63" s="39"/>
      <c r="D63" s="36"/>
      <c r="E63" s="39"/>
      <c r="F63" s="36"/>
      <c r="G63" s="36"/>
      <c r="H63" s="36"/>
      <c r="I63" s="36"/>
    </row>
    <row r="64" spans="3:9" s="2" customFormat="1" x14ac:dyDescent="0.2">
      <c r="C64" s="39"/>
      <c r="D64" s="36"/>
      <c r="E64" s="39"/>
      <c r="F64" s="36"/>
      <c r="G64" s="36"/>
      <c r="H64" s="36"/>
      <c r="I64" s="36"/>
    </row>
    <row r="65" spans="3:9" s="2" customFormat="1" x14ac:dyDescent="0.2">
      <c r="C65" s="39"/>
      <c r="D65" s="36"/>
      <c r="E65" s="39"/>
      <c r="F65" s="36"/>
      <c r="G65" s="36"/>
      <c r="H65" s="36"/>
      <c r="I65" s="36"/>
    </row>
    <row r="66" spans="3:9" s="2" customFormat="1" x14ac:dyDescent="0.2">
      <c r="C66" s="39"/>
      <c r="D66" s="36"/>
      <c r="E66" s="39"/>
      <c r="F66" s="36"/>
      <c r="G66" s="36"/>
      <c r="H66" s="36"/>
      <c r="I66" s="36"/>
    </row>
    <row r="67" spans="3:9" s="2" customFormat="1" x14ac:dyDescent="0.2">
      <c r="C67" s="39"/>
      <c r="D67" s="36"/>
      <c r="E67" s="39"/>
      <c r="F67" s="36"/>
      <c r="G67" s="36"/>
      <c r="H67" s="36"/>
      <c r="I67" s="36"/>
    </row>
    <row r="68" spans="3:9" s="2" customFormat="1" x14ac:dyDescent="0.2">
      <c r="C68" s="39"/>
      <c r="D68" s="36"/>
      <c r="E68" s="39"/>
      <c r="F68" s="36"/>
      <c r="G68" s="36"/>
      <c r="H68" s="36"/>
      <c r="I68" s="36"/>
    </row>
    <row r="69" spans="3:9" s="2" customFormat="1" x14ac:dyDescent="0.2">
      <c r="C69" s="39"/>
      <c r="D69" s="36"/>
      <c r="E69" s="39"/>
      <c r="F69" s="36"/>
      <c r="G69" s="36"/>
      <c r="H69" s="36"/>
      <c r="I69" s="36"/>
    </row>
    <row r="70" spans="3:9" s="2" customFormat="1" x14ac:dyDescent="0.2">
      <c r="C70" s="39"/>
      <c r="D70" s="36"/>
      <c r="E70" s="39"/>
      <c r="F70" s="36"/>
      <c r="G70" s="36"/>
      <c r="H70" s="36"/>
      <c r="I70" s="36"/>
    </row>
    <row r="71" spans="3:9" s="2" customFormat="1" x14ac:dyDescent="0.2">
      <c r="C71" s="39"/>
      <c r="D71" s="36"/>
      <c r="E71" s="39"/>
      <c r="F71" s="36"/>
      <c r="G71" s="36"/>
      <c r="H71" s="36"/>
      <c r="I71" s="36"/>
    </row>
    <row r="72" spans="3:9" s="2" customFormat="1" x14ac:dyDescent="0.2">
      <c r="C72" s="39"/>
      <c r="D72" s="36"/>
      <c r="E72" s="39"/>
      <c r="F72" s="36"/>
      <c r="G72" s="36"/>
      <c r="H72" s="36"/>
      <c r="I72" s="36"/>
    </row>
    <row r="73" spans="3:9" s="2" customFormat="1" x14ac:dyDescent="0.2">
      <c r="C73" s="39"/>
      <c r="D73" s="36"/>
      <c r="E73" s="39"/>
      <c r="F73" s="36"/>
      <c r="G73" s="36"/>
      <c r="H73" s="36"/>
      <c r="I73" s="36"/>
    </row>
    <row r="74" spans="3:9" s="2" customFormat="1" x14ac:dyDescent="0.2">
      <c r="C74" s="39"/>
      <c r="D74" s="36"/>
      <c r="E74" s="39"/>
      <c r="F74" s="36"/>
      <c r="G74" s="36"/>
      <c r="H74" s="36"/>
      <c r="I74" s="36"/>
    </row>
    <row r="75" spans="3:9" s="2" customFormat="1" x14ac:dyDescent="0.2">
      <c r="C75" s="39"/>
      <c r="D75" s="36"/>
      <c r="E75" s="39"/>
      <c r="F75" s="36"/>
      <c r="G75" s="36"/>
      <c r="H75" s="36"/>
      <c r="I75" s="36"/>
    </row>
    <row r="76" spans="3:9" s="2" customFormat="1" x14ac:dyDescent="0.2">
      <c r="C76" s="39"/>
      <c r="D76" s="36"/>
      <c r="E76" s="39"/>
      <c r="F76" s="36"/>
      <c r="G76" s="36"/>
      <c r="H76" s="36"/>
      <c r="I76" s="36"/>
    </row>
    <row r="77" spans="3:9" s="2" customFormat="1" x14ac:dyDescent="0.2">
      <c r="C77" s="39"/>
      <c r="D77" s="36"/>
      <c r="E77" s="39"/>
      <c r="F77" s="36"/>
      <c r="G77" s="36"/>
      <c r="H77" s="36"/>
      <c r="I77" s="36"/>
    </row>
    <row r="78" spans="3:9" s="2" customFormat="1" x14ac:dyDescent="0.2">
      <c r="C78" s="39"/>
      <c r="D78" s="36"/>
      <c r="E78" s="39"/>
      <c r="F78" s="36"/>
      <c r="G78" s="36"/>
      <c r="H78" s="36"/>
      <c r="I78" s="36"/>
    </row>
    <row r="79" spans="3:9" s="2" customFormat="1" x14ac:dyDescent="0.2">
      <c r="C79" s="39"/>
      <c r="D79" s="36"/>
      <c r="E79" s="39"/>
      <c r="F79" s="36"/>
      <c r="G79" s="36"/>
      <c r="H79" s="36"/>
      <c r="I79" s="36"/>
    </row>
    <row r="80" spans="3:9" s="2" customFormat="1" x14ac:dyDescent="0.2">
      <c r="C80" s="39"/>
      <c r="D80" s="36"/>
      <c r="E80" s="39"/>
      <c r="F80" s="36"/>
      <c r="G80" s="36"/>
      <c r="H80" s="36"/>
      <c r="I80" s="36"/>
    </row>
    <row r="81" spans="3:9" s="2" customFormat="1" x14ac:dyDescent="0.2">
      <c r="C81" s="39"/>
      <c r="D81" s="36"/>
      <c r="E81" s="39"/>
      <c r="F81" s="36"/>
      <c r="G81" s="36"/>
      <c r="H81" s="36"/>
      <c r="I81" s="36"/>
    </row>
    <row r="82" spans="3:9" s="2" customFormat="1" x14ac:dyDescent="0.2">
      <c r="C82" s="39"/>
      <c r="D82" s="36"/>
      <c r="E82" s="39"/>
      <c r="F82" s="36"/>
      <c r="G82" s="36"/>
      <c r="H82" s="36"/>
      <c r="I82" s="36"/>
    </row>
    <row r="83" spans="3:9" s="2" customFormat="1" x14ac:dyDescent="0.2">
      <c r="C83" s="39"/>
      <c r="D83" s="36"/>
      <c r="E83" s="39"/>
      <c r="F83" s="36"/>
      <c r="G83" s="36"/>
      <c r="H83" s="36"/>
      <c r="I83" s="36"/>
    </row>
    <row r="84" spans="3:9" s="2" customFormat="1" x14ac:dyDescent="0.2">
      <c r="C84" s="39"/>
      <c r="D84" s="36"/>
      <c r="E84" s="39"/>
      <c r="F84" s="36"/>
      <c r="G84" s="36"/>
      <c r="H84" s="36"/>
      <c r="I84" s="36"/>
    </row>
    <row r="85" spans="3:9" s="2" customFormat="1" x14ac:dyDescent="0.2">
      <c r="C85" s="39"/>
      <c r="D85" s="36"/>
      <c r="E85" s="39"/>
      <c r="F85" s="36"/>
      <c r="G85" s="36"/>
      <c r="H85" s="36"/>
      <c r="I85" s="36"/>
    </row>
    <row r="86" spans="3:9" s="2" customFormat="1" x14ac:dyDescent="0.2">
      <c r="C86" s="39"/>
      <c r="D86" s="36"/>
      <c r="E86" s="39"/>
      <c r="F86" s="36"/>
      <c r="G86" s="36"/>
      <c r="H86" s="36"/>
      <c r="I86" s="36"/>
    </row>
    <row r="87" spans="3:9" s="2" customFormat="1" x14ac:dyDescent="0.2">
      <c r="C87" s="39"/>
      <c r="D87" s="36"/>
      <c r="E87" s="39"/>
      <c r="F87" s="36"/>
      <c r="G87" s="36"/>
      <c r="H87" s="36"/>
      <c r="I87" s="36"/>
    </row>
    <row r="88" spans="3:9" s="2" customFormat="1" x14ac:dyDescent="0.2">
      <c r="C88" s="39"/>
      <c r="D88" s="36"/>
      <c r="E88" s="39"/>
      <c r="F88" s="36"/>
      <c r="G88" s="36"/>
      <c r="H88" s="36"/>
      <c r="I88" s="36"/>
    </row>
    <row r="89" spans="3:9" s="2" customFormat="1" x14ac:dyDescent="0.2">
      <c r="C89" s="39"/>
      <c r="D89" s="36"/>
      <c r="E89" s="39"/>
      <c r="F89" s="36"/>
      <c r="G89" s="36"/>
      <c r="H89" s="36"/>
      <c r="I89" s="36"/>
    </row>
    <row r="90" spans="3:9" s="2" customFormat="1" x14ac:dyDescent="0.2">
      <c r="C90" s="39"/>
      <c r="D90" s="36"/>
      <c r="E90" s="39"/>
      <c r="F90" s="36"/>
      <c r="G90" s="36"/>
      <c r="H90" s="36"/>
      <c r="I90" s="36"/>
    </row>
    <row r="91" spans="3:9" s="2" customFormat="1" x14ac:dyDescent="0.2">
      <c r="C91" s="39"/>
      <c r="D91" s="36"/>
      <c r="E91" s="39"/>
      <c r="F91" s="36"/>
      <c r="G91" s="36"/>
      <c r="H91" s="36"/>
      <c r="I91" s="36"/>
    </row>
    <row r="92" spans="3:9" s="2" customFormat="1" x14ac:dyDescent="0.2">
      <c r="C92" s="39"/>
      <c r="D92" s="36"/>
      <c r="E92" s="39"/>
      <c r="F92" s="36"/>
      <c r="G92" s="36"/>
      <c r="H92" s="36"/>
      <c r="I92" s="36"/>
    </row>
    <row r="93" spans="3:9" s="2" customFormat="1" x14ac:dyDescent="0.2">
      <c r="C93" s="39"/>
      <c r="D93" s="36"/>
      <c r="E93" s="39"/>
      <c r="F93" s="36"/>
      <c r="G93" s="36"/>
      <c r="H93" s="36"/>
      <c r="I93" s="36"/>
    </row>
    <row r="94" spans="3:9" s="2" customFormat="1" x14ac:dyDescent="0.2">
      <c r="C94" s="39"/>
      <c r="D94" s="36"/>
      <c r="E94" s="39"/>
      <c r="F94" s="36"/>
      <c r="G94" s="36"/>
      <c r="H94" s="36"/>
      <c r="I94" s="36"/>
    </row>
    <row r="95" spans="3:9" s="2" customFormat="1" x14ac:dyDescent="0.2">
      <c r="C95" s="39"/>
      <c r="D95" s="36"/>
      <c r="E95" s="39"/>
      <c r="F95" s="36"/>
      <c r="G95" s="36"/>
      <c r="H95" s="36"/>
      <c r="I95" s="36"/>
    </row>
    <row r="96" spans="3:9" s="2" customFormat="1" x14ac:dyDescent="0.2">
      <c r="C96" s="39"/>
      <c r="D96" s="36"/>
      <c r="E96" s="39"/>
      <c r="F96" s="36"/>
      <c r="G96" s="36"/>
      <c r="H96" s="36"/>
      <c r="I96" s="36"/>
    </row>
    <row r="97" spans="3:9" s="2" customFormat="1" x14ac:dyDescent="0.2">
      <c r="C97" s="39"/>
      <c r="D97" s="36"/>
      <c r="E97" s="39"/>
      <c r="F97" s="36"/>
      <c r="G97" s="36"/>
      <c r="H97" s="36"/>
      <c r="I97" s="36"/>
    </row>
    <row r="98" spans="3:9" s="2" customFormat="1" x14ac:dyDescent="0.2">
      <c r="C98" s="39"/>
      <c r="D98" s="36"/>
      <c r="E98" s="39"/>
      <c r="F98" s="36"/>
      <c r="G98" s="36"/>
      <c r="H98" s="36"/>
      <c r="I98" s="36"/>
    </row>
    <row r="99" spans="3:9" s="2" customFormat="1" x14ac:dyDescent="0.2">
      <c r="C99" s="39"/>
      <c r="D99" s="36"/>
      <c r="E99" s="39"/>
      <c r="F99" s="36"/>
      <c r="G99" s="36"/>
      <c r="H99" s="36"/>
      <c r="I99" s="36"/>
    </row>
    <row r="100" spans="3:9" s="2" customFormat="1" x14ac:dyDescent="0.2">
      <c r="C100" s="39"/>
      <c r="D100" s="36"/>
      <c r="E100" s="39"/>
      <c r="F100" s="36"/>
      <c r="G100" s="36"/>
      <c r="H100" s="36"/>
      <c r="I100" s="36"/>
    </row>
    <row r="101" spans="3:9" s="2" customFormat="1" x14ac:dyDescent="0.2">
      <c r="C101" s="39"/>
      <c r="D101" s="36"/>
      <c r="E101" s="39"/>
      <c r="F101" s="36"/>
      <c r="G101" s="36"/>
      <c r="H101" s="36"/>
      <c r="I101" s="36"/>
    </row>
    <row r="102" spans="3:9" s="2" customFormat="1" x14ac:dyDescent="0.2">
      <c r="C102" s="39"/>
      <c r="D102" s="36"/>
      <c r="E102" s="39"/>
      <c r="F102" s="36"/>
      <c r="G102" s="36"/>
      <c r="H102" s="36"/>
      <c r="I102" s="36"/>
    </row>
    <row r="103" spans="3:9" s="2" customFormat="1" x14ac:dyDescent="0.2">
      <c r="C103" s="39"/>
      <c r="D103" s="36"/>
      <c r="E103" s="39"/>
      <c r="F103" s="36"/>
      <c r="G103" s="36"/>
      <c r="H103" s="36"/>
      <c r="I103" s="36"/>
    </row>
    <row r="104" spans="3:9" s="2" customFormat="1" x14ac:dyDescent="0.2">
      <c r="C104" s="39"/>
      <c r="D104" s="36"/>
      <c r="E104" s="39"/>
      <c r="F104" s="36"/>
      <c r="G104" s="36"/>
      <c r="H104" s="36"/>
      <c r="I104" s="36"/>
    </row>
    <row r="105" spans="3:9" s="2" customFormat="1" x14ac:dyDescent="0.2">
      <c r="C105" s="39"/>
      <c r="D105" s="36"/>
      <c r="E105" s="39"/>
      <c r="F105" s="36"/>
      <c r="G105" s="36"/>
      <c r="H105" s="36"/>
      <c r="I105" s="36"/>
    </row>
    <row r="106" spans="3:9" s="2" customFormat="1" x14ac:dyDescent="0.2">
      <c r="C106" s="39"/>
      <c r="D106" s="36"/>
      <c r="E106" s="39"/>
      <c r="F106" s="36"/>
      <c r="G106" s="36"/>
      <c r="H106" s="36"/>
      <c r="I106" s="36"/>
    </row>
    <row r="107" spans="3:9" s="2" customFormat="1" x14ac:dyDescent="0.2">
      <c r="C107" s="39"/>
      <c r="D107" s="36"/>
      <c r="E107" s="39"/>
      <c r="F107" s="36"/>
      <c r="G107" s="36"/>
      <c r="H107" s="36"/>
      <c r="I107" s="36"/>
    </row>
    <row r="108" spans="3:9" s="2" customFormat="1" x14ac:dyDescent="0.2">
      <c r="C108" s="39"/>
      <c r="D108" s="36"/>
      <c r="E108" s="39"/>
      <c r="F108" s="36"/>
      <c r="G108" s="36"/>
      <c r="H108" s="36"/>
      <c r="I108" s="36"/>
    </row>
    <row r="109" spans="3:9" s="2" customFormat="1" x14ac:dyDescent="0.2">
      <c r="C109" s="39"/>
      <c r="D109" s="36"/>
      <c r="E109" s="39"/>
      <c r="F109" s="36"/>
      <c r="G109" s="36"/>
      <c r="H109" s="36"/>
      <c r="I109" s="36"/>
    </row>
    <row r="110" spans="3:9" s="2" customFormat="1" x14ac:dyDescent="0.2">
      <c r="C110" s="39"/>
      <c r="D110" s="36"/>
      <c r="E110" s="39"/>
      <c r="F110" s="36"/>
      <c r="G110" s="36"/>
      <c r="H110" s="36"/>
      <c r="I110" s="36"/>
    </row>
    <row r="111" spans="3:9" s="2" customFormat="1" x14ac:dyDescent="0.2">
      <c r="C111" s="39"/>
      <c r="D111" s="36"/>
      <c r="E111" s="39"/>
      <c r="F111" s="36"/>
      <c r="G111" s="36"/>
      <c r="H111" s="36"/>
      <c r="I111" s="36"/>
    </row>
    <row r="112" spans="3:9" s="2" customFormat="1" x14ac:dyDescent="0.2">
      <c r="C112" s="39"/>
      <c r="D112" s="36"/>
      <c r="E112" s="39"/>
      <c r="F112" s="36"/>
      <c r="G112" s="36"/>
      <c r="H112" s="36"/>
      <c r="I112" s="36"/>
    </row>
    <row r="113" spans="3:9" s="2" customFormat="1" x14ac:dyDescent="0.2">
      <c r="C113" s="39"/>
      <c r="D113" s="36"/>
      <c r="E113" s="39"/>
      <c r="F113" s="36"/>
      <c r="G113" s="36"/>
      <c r="H113" s="36"/>
      <c r="I113" s="36"/>
    </row>
    <row r="114" spans="3:9" s="2" customFormat="1" x14ac:dyDescent="0.2">
      <c r="C114" s="39"/>
      <c r="D114" s="36"/>
      <c r="E114" s="39"/>
      <c r="F114" s="36"/>
      <c r="G114" s="36"/>
      <c r="H114" s="36"/>
      <c r="I114" s="36"/>
    </row>
    <row r="115" spans="3:9" s="2" customFormat="1" x14ac:dyDescent="0.2">
      <c r="C115" s="39"/>
      <c r="D115" s="36"/>
      <c r="E115" s="39"/>
      <c r="F115" s="36"/>
      <c r="G115" s="36"/>
      <c r="H115" s="36"/>
      <c r="I115" s="36"/>
    </row>
    <row r="116" spans="3:9" s="2" customFormat="1" x14ac:dyDescent="0.2">
      <c r="C116" s="39"/>
      <c r="D116" s="36"/>
      <c r="E116" s="39"/>
      <c r="F116" s="36"/>
      <c r="G116" s="36"/>
      <c r="H116" s="36"/>
      <c r="I116" s="36"/>
    </row>
    <row r="117" spans="3:9" s="2" customFormat="1" x14ac:dyDescent="0.2">
      <c r="C117" s="39"/>
      <c r="D117" s="36"/>
      <c r="E117" s="39"/>
      <c r="F117" s="36"/>
      <c r="G117" s="36"/>
      <c r="H117" s="36"/>
      <c r="I117" s="36"/>
    </row>
    <row r="118" spans="3:9" s="2" customFormat="1" x14ac:dyDescent="0.2">
      <c r="C118" s="39"/>
      <c r="D118" s="36"/>
      <c r="E118" s="39"/>
      <c r="F118" s="36"/>
      <c r="G118" s="36"/>
      <c r="H118" s="36"/>
      <c r="I118" s="36"/>
    </row>
    <row r="119" spans="3:9" s="2" customFormat="1" x14ac:dyDescent="0.2">
      <c r="C119" s="39"/>
      <c r="D119" s="36"/>
      <c r="E119" s="39"/>
      <c r="F119" s="36"/>
      <c r="G119" s="36"/>
      <c r="H119" s="36"/>
      <c r="I119" s="36"/>
    </row>
    <row r="120" spans="3:9" s="2" customFormat="1" x14ac:dyDescent="0.2">
      <c r="C120" s="39"/>
      <c r="D120" s="36"/>
      <c r="E120" s="39"/>
      <c r="F120" s="36"/>
      <c r="G120" s="36"/>
      <c r="H120" s="36"/>
      <c r="I120" s="36"/>
    </row>
    <row r="121" spans="3:9" s="2" customFormat="1" x14ac:dyDescent="0.2">
      <c r="C121" s="39"/>
      <c r="D121" s="36"/>
      <c r="E121" s="39"/>
      <c r="F121" s="36"/>
      <c r="G121" s="36"/>
      <c r="H121" s="36"/>
      <c r="I121" s="36"/>
    </row>
    <row r="122" spans="3:9" s="2" customFormat="1" x14ac:dyDescent="0.2">
      <c r="C122" s="39"/>
      <c r="D122" s="36"/>
      <c r="E122" s="39"/>
      <c r="F122" s="36"/>
      <c r="G122" s="36"/>
      <c r="H122" s="36"/>
      <c r="I122" s="36"/>
    </row>
    <row r="123" spans="3:9" s="2" customFormat="1" x14ac:dyDescent="0.2">
      <c r="C123" s="39"/>
      <c r="D123" s="36"/>
      <c r="E123" s="39"/>
      <c r="F123" s="36"/>
      <c r="G123" s="36"/>
      <c r="H123" s="36"/>
      <c r="I123" s="36"/>
    </row>
    <row r="124" spans="3:9" s="2" customFormat="1" x14ac:dyDescent="0.2">
      <c r="C124" s="39"/>
      <c r="D124" s="36"/>
      <c r="E124" s="39"/>
      <c r="F124" s="36"/>
      <c r="G124" s="36"/>
      <c r="H124" s="36"/>
      <c r="I124" s="36"/>
    </row>
    <row r="125" spans="3:9" s="2" customFormat="1" x14ac:dyDescent="0.2">
      <c r="C125" s="39"/>
      <c r="D125" s="36"/>
      <c r="E125" s="39"/>
      <c r="F125" s="36"/>
      <c r="G125" s="36"/>
      <c r="H125" s="36"/>
      <c r="I125" s="36"/>
    </row>
    <row r="126" spans="3:9" s="2" customFormat="1" x14ac:dyDescent="0.2">
      <c r="C126" s="39"/>
      <c r="D126" s="36"/>
      <c r="E126" s="39"/>
      <c r="F126" s="36"/>
      <c r="G126" s="36"/>
      <c r="H126" s="36"/>
      <c r="I126" s="36"/>
    </row>
    <row r="127" spans="3:9" s="2" customFormat="1" x14ac:dyDescent="0.2">
      <c r="C127" s="39"/>
      <c r="D127" s="36"/>
      <c r="E127" s="39"/>
      <c r="F127" s="36"/>
      <c r="G127" s="36"/>
      <c r="H127" s="36"/>
      <c r="I127" s="36"/>
    </row>
    <row r="128" spans="3:9" s="2" customFormat="1" x14ac:dyDescent="0.2">
      <c r="C128" s="39"/>
      <c r="D128" s="36"/>
      <c r="E128" s="39"/>
      <c r="F128" s="36"/>
      <c r="G128" s="36"/>
      <c r="H128" s="36"/>
      <c r="I128" s="36"/>
    </row>
    <row r="129" spans="3:9" s="2" customFormat="1" x14ac:dyDescent="0.2">
      <c r="C129" s="39"/>
      <c r="D129" s="36"/>
      <c r="E129" s="39"/>
      <c r="F129" s="36"/>
      <c r="G129" s="36"/>
      <c r="H129" s="36"/>
      <c r="I129" s="36"/>
    </row>
    <row r="130" spans="3:9" s="2" customFormat="1" x14ac:dyDescent="0.2">
      <c r="C130" s="39"/>
      <c r="D130" s="36"/>
      <c r="E130" s="39"/>
      <c r="F130" s="36"/>
      <c r="G130" s="36"/>
      <c r="H130" s="36"/>
      <c r="I130" s="36"/>
    </row>
    <row r="131" spans="3:9" s="2" customFormat="1" x14ac:dyDescent="0.2">
      <c r="C131" s="39"/>
      <c r="D131" s="36"/>
      <c r="E131" s="39"/>
      <c r="F131" s="36"/>
      <c r="G131" s="36"/>
      <c r="H131" s="36"/>
      <c r="I131" s="36"/>
    </row>
    <row r="132" spans="3:9" s="2" customFormat="1" x14ac:dyDescent="0.2">
      <c r="C132" s="39"/>
      <c r="D132" s="36"/>
      <c r="E132" s="39"/>
      <c r="F132" s="36"/>
      <c r="G132" s="36"/>
      <c r="H132" s="36"/>
      <c r="I132" s="36"/>
    </row>
    <row r="133" spans="3:9" s="2" customFormat="1" x14ac:dyDescent="0.2">
      <c r="C133" s="39"/>
      <c r="D133" s="36"/>
      <c r="E133" s="39"/>
      <c r="F133" s="36"/>
      <c r="G133" s="36"/>
      <c r="H133" s="36"/>
      <c r="I133" s="36"/>
    </row>
    <row r="134" spans="3:9" s="2" customFormat="1" x14ac:dyDescent="0.2">
      <c r="C134" s="39"/>
      <c r="D134" s="36"/>
      <c r="E134" s="39"/>
      <c r="F134" s="36"/>
      <c r="G134" s="36"/>
      <c r="H134" s="36"/>
      <c r="I134" s="36"/>
    </row>
    <row r="135" spans="3:9" s="2" customFormat="1" x14ac:dyDescent="0.2">
      <c r="C135" s="39"/>
      <c r="D135" s="36"/>
      <c r="E135" s="39"/>
      <c r="F135" s="36"/>
      <c r="G135" s="36"/>
      <c r="H135" s="36"/>
      <c r="I135" s="36"/>
    </row>
  </sheetData>
  <mergeCells count="1">
    <mergeCell ref="B5:E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M98"/>
  <sheetViews>
    <sheetView showGridLines="0" zoomScaleNormal="100" workbookViewId="0">
      <selection activeCell="F6" sqref="F6"/>
    </sheetView>
  </sheetViews>
  <sheetFormatPr baseColWidth="10" defaultRowHeight="12.75" x14ac:dyDescent="0.2"/>
  <cols>
    <col min="1" max="1" width="20.140625" customWidth="1"/>
    <col min="2" max="2" width="17.7109375" customWidth="1"/>
    <col min="3" max="3" width="15.140625" style="38" customWidth="1"/>
    <col min="4" max="6" width="24.42578125" customWidth="1"/>
    <col min="7" max="7" width="20.85546875" customWidth="1"/>
    <col min="8" max="8" width="24.85546875" bestFit="1" customWidth="1"/>
    <col min="9" max="9" width="57.5703125" customWidth="1"/>
    <col min="10" max="13" width="11.42578125" style="2"/>
    <col min="253" max="253" width="20.140625" customWidth="1"/>
    <col min="254" max="254" width="11.5703125" customWidth="1"/>
    <col min="255" max="255" width="17.7109375" customWidth="1"/>
    <col min="256" max="256" width="16.85546875" customWidth="1"/>
    <col min="257" max="258" width="10" customWidth="1"/>
    <col min="259" max="259" width="18.85546875" customWidth="1"/>
    <col min="260" max="260" width="24.5703125" customWidth="1"/>
    <col min="509" max="509" width="20.140625" customWidth="1"/>
    <col min="510" max="510" width="11.5703125" customWidth="1"/>
    <col min="511" max="511" width="17.7109375" customWidth="1"/>
    <col min="512" max="512" width="16.85546875" customWidth="1"/>
    <col min="513" max="514" width="10" customWidth="1"/>
    <col min="515" max="515" width="18.85546875" customWidth="1"/>
    <col min="516" max="516" width="24.5703125" customWidth="1"/>
    <col min="765" max="765" width="20.140625" customWidth="1"/>
    <col min="766" max="766" width="11.5703125" customWidth="1"/>
    <col min="767" max="767" width="17.7109375" customWidth="1"/>
    <col min="768" max="768" width="16.85546875" customWidth="1"/>
    <col min="769" max="770" width="10" customWidth="1"/>
    <col min="771" max="771" width="18.85546875" customWidth="1"/>
    <col min="772" max="772" width="24.5703125" customWidth="1"/>
    <col min="1021" max="1021" width="20.140625" customWidth="1"/>
    <col min="1022" max="1022" width="11.5703125" customWidth="1"/>
    <col min="1023" max="1023" width="17.7109375" customWidth="1"/>
    <col min="1024" max="1024" width="16.85546875" customWidth="1"/>
    <col min="1025" max="1026" width="10" customWidth="1"/>
    <col min="1027" max="1027" width="18.85546875" customWidth="1"/>
    <col min="1028" max="1028" width="24.5703125" customWidth="1"/>
    <col min="1277" max="1277" width="20.140625" customWidth="1"/>
    <col min="1278" max="1278" width="11.5703125" customWidth="1"/>
    <col min="1279" max="1279" width="17.7109375" customWidth="1"/>
    <col min="1280" max="1280" width="16.85546875" customWidth="1"/>
    <col min="1281" max="1282" width="10" customWidth="1"/>
    <col min="1283" max="1283" width="18.85546875" customWidth="1"/>
    <col min="1284" max="1284" width="24.5703125" customWidth="1"/>
    <col min="1533" max="1533" width="20.140625" customWidth="1"/>
    <col min="1534" max="1534" width="11.5703125" customWidth="1"/>
    <col min="1535" max="1535" width="17.7109375" customWidth="1"/>
    <col min="1536" max="1536" width="16.85546875" customWidth="1"/>
    <col min="1537" max="1538" width="10" customWidth="1"/>
    <col min="1539" max="1539" width="18.85546875" customWidth="1"/>
    <col min="1540" max="1540" width="24.5703125" customWidth="1"/>
    <col min="1789" max="1789" width="20.140625" customWidth="1"/>
    <col min="1790" max="1790" width="11.5703125" customWidth="1"/>
    <col min="1791" max="1791" width="17.7109375" customWidth="1"/>
    <col min="1792" max="1792" width="16.85546875" customWidth="1"/>
    <col min="1793" max="1794" width="10" customWidth="1"/>
    <col min="1795" max="1795" width="18.85546875" customWidth="1"/>
    <col min="1796" max="1796" width="24.5703125" customWidth="1"/>
    <col min="2045" max="2045" width="20.140625" customWidth="1"/>
    <col min="2046" max="2046" width="11.5703125" customWidth="1"/>
    <col min="2047" max="2047" width="17.7109375" customWidth="1"/>
    <col min="2048" max="2048" width="16.85546875" customWidth="1"/>
    <col min="2049" max="2050" width="10" customWidth="1"/>
    <col min="2051" max="2051" width="18.85546875" customWidth="1"/>
    <col min="2052" max="2052" width="24.5703125" customWidth="1"/>
    <col min="2301" max="2301" width="20.140625" customWidth="1"/>
    <col min="2302" max="2302" width="11.5703125" customWidth="1"/>
    <col min="2303" max="2303" width="17.7109375" customWidth="1"/>
    <col min="2304" max="2304" width="16.85546875" customWidth="1"/>
    <col min="2305" max="2306" width="10" customWidth="1"/>
    <col min="2307" max="2307" width="18.85546875" customWidth="1"/>
    <col min="2308" max="2308" width="24.5703125" customWidth="1"/>
    <col min="2557" max="2557" width="20.140625" customWidth="1"/>
    <col min="2558" max="2558" width="11.5703125" customWidth="1"/>
    <col min="2559" max="2559" width="17.7109375" customWidth="1"/>
    <col min="2560" max="2560" width="16.85546875" customWidth="1"/>
    <col min="2561" max="2562" width="10" customWidth="1"/>
    <col min="2563" max="2563" width="18.85546875" customWidth="1"/>
    <col min="2564" max="2564" width="24.5703125" customWidth="1"/>
    <col min="2813" max="2813" width="20.140625" customWidth="1"/>
    <col min="2814" max="2814" width="11.5703125" customWidth="1"/>
    <col min="2815" max="2815" width="17.7109375" customWidth="1"/>
    <col min="2816" max="2816" width="16.85546875" customWidth="1"/>
    <col min="2817" max="2818" width="10" customWidth="1"/>
    <col min="2819" max="2819" width="18.85546875" customWidth="1"/>
    <col min="2820" max="2820" width="24.5703125" customWidth="1"/>
    <col min="3069" max="3069" width="20.140625" customWidth="1"/>
    <col min="3070" max="3070" width="11.5703125" customWidth="1"/>
    <col min="3071" max="3071" width="17.7109375" customWidth="1"/>
    <col min="3072" max="3072" width="16.85546875" customWidth="1"/>
    <col min="3073" max="3074" width="10" customWidth="1"/>
    <col min="3075" max="3075" width="18.85546875" customWidth="1"/>
    <col min="3076" max="3076" width="24.5703125" customWidth="1"/>
    <col min="3325" max="3325" width="20.140625" customWidth="1"/>
    <col min="3326" max="3326" width="11.5703125" customWidth="1"/>
    <col min="3327" max="3327" width="17.7109375" customWidth="1"/>
    <col min="3328" max="3328" width="16.85546875" customWidth="1"/>
    <col min="3329" max="3330" width="10" customWidth="1"/>
    <col min="3331" max="3331" width="18.85546875" customWidth="1"/>
    <col min="3332" max="3332" width="24.5703125" customWidth="1"/>
    <col min="3581" max="3581" width="20.140625" customWidth="1"/>
    <col min="3582" max="3582" width="11.5703125" customWidth="1"/>
    <col min="3583" max="3583" width="17.7109375" customWidth="1"/>
    <col min="3584" max="3584" width="16.85546875" customWidth="1"/>
    <col min="3585" max="3586" width="10" customWidth="1"/>
    <col min="3587" max="3587" width="18.85546875" customWidth="1"/>
    <col min="3588" max="3588" width="24.5703125" customWidth="1"/>
    <col min="3837" max="3837" width="20.140625" customWidth="1"/>
    <col min="3838" max="3838" width="11.5703125" customWidth="1"/>
    <col min="3839" max="3839" width="17.7109375" customWidth="1"/>
    <col min="3840" max="3840" width="16.85546875" customWidth="1"/>
    <col min="3841" max="3842" width="10" customWidth="1"/>
    <col min="3843" max="3843" width="18.85546875" customWidth="1"/>
    <col min="3844" max="3844" width="24.5703125" customWidth="1"/>
    <col min="4093" max="4093" width="20.140625" customWidth="1"/>
    <col min="4094" max="4094" width="11.5703125" customWidth="1"/>
    <col min="4095" max="4095" width="17.7109375" customWidth="1"/>
    <col min="4096" max="4096" width="16.85546875" customWidth="1"/>
    <col min="4097" max="4098" width="10" customWidth="1"/>
    <col min="4099" max="4099" width="18.85546875" customWidth="1"/>
    <col min="4100" max="4100" width="24.5703125" customWidth="1"/>
    <col min="4349" max="4349" width="20.140625" customWidth="1"/>
    <col min="4350" max="4350" width="11.5703125" customWidth="1"/>
    <col min="4351" max="4351" width="17.7109375" customWidth="1"/>
    <col min="4352" max="4352" width="16.85546875" customWidth="1"/>
    <col min="4353" max="4354" width="10" customWidth="1"/>
    <col min="4355" max="4355" width="18.85546875" customWidth="1"/>
    <col min="4356" max="4356" width="24.5703125" customWidth="1"/>
    <col min="4605" max="4605" width="20.140625" customWidth="1"/>
    <col min="4606" max="4606" width="11.5703125" customWidth="1"/>
    <col min="4607" max="4607" width="17.7109375" customWidth="1"/>
    <col min="4608" max="4608" width="16.85546875" customWidth="1"/>
    <col min="4609" max="4610" width="10" customWidth="1"/>
    <col min="4611" max="4611" width="18.85546875" customWidth="1"/>
    <col min="4612" max="4612" width="24.5703125" customWidth="1"/>
    <col min="4861" max="4861" width="20.140625" customWidth="1"/>
    <col min="4862" max="4862" width="11.5703125" customWidth="1"/>
    <col min="4863" max="4863" width="17.7109375" customWidth="1"/>
    <col min="4864" max="4864" width="16.85546875" customWidth="1"/>
    <col min="4865" max="4866" width="10" customWidth="1"/>
    <col min="4867" max="4867" width="18.85546875" customWidth="1"/>
    <col min="4868" max="4868" width="24.5703125" customWidth="1"/>
    <col min="5117" max="5117" width="20.140625" customWidth="1"/>
    <col min="5118" max="5118" width="11.5703125" customWidth="1"/>
    <col min="5119" max="5119" width="17.7109375" customWidth="1"/>
    <col min="5120" max="5120" width="16.85546875" customWidth="1"/>
    <col min="5121" max="5122" width="10" customWidth="1"/>
    <col min="5123" max="5123" width="18.85546875" customWidth="1"/>
    <col min="5124" max="5124" width="24.5703125" customWidth="1"/>
    <col min="5373" max="5373" width="20.140625" customWidth="1"/>
    <col min="5374" max="5374" width="11.5703125" customWidth="1"/>
    <col min="5375" max="5375" width="17.7109375" customWidth="1"/>
    <col min="5376" max="5376" width="16.85546875" customWidth="1"/>
    <col min="5377" max="5378" width="10" customWidth="1"/>
    <col min="5379" max="5379" width="18.85546875" customWidth="1"/>
    <col min="5380" max="5380" width="24.5703125" customWidth="1"/>
    <col min="5629" max="5629" width="20.140625" customWidth="1"/>
    <col min="5630" max="5630" width="11.5703125" customWidth="1"/>
    <col min="5631" max="5631" width="17.7109375" customWidth="1"/>
    <col min="5632" max="5632" width="16.85546875" customWidth="1"/>
    <col min="5633" max="5634" width="10" customWidth="1"/>
    <col min="5635" max="5635" width="18.85546875" customWidth="1"/>
    <col min="5636" max="5636" width="24.5703125" customWidth="1"/>
    <col min="5885" max="5885" width="20.140625" customWidth="1"/>
    <col min="5886" max="5886" width="11.5703125" customWidth="1"/>
    <col min="5887" max="5887" width="17.7109375" customWidth="1"/>
    <col min="5888" max="5888" width="16.85546875" customWidth="1"/>
    <col min="5889" max="5890" width="10" customWidth="1"/>
    <col min="5891" max="5891" width="18.85546875" customWidth="1"/>
    <col min="5892" max="5892" width="24.5703125" customWidth="1"/>
    <col min="6141" max="6141" width="20.140625" customWidth="1"/>
    <col min="6142" max="6142" width="11.5703125" customWidth="1"/>
    <col min="6143" max="6143" width="17.7109375" customWidth="1"/>
    <col min="6144" max="6144" width="16.85546875" customWidth="1"/>
    <col min="6145" max="6146" width="10" customWidth="1"/>
    <col min="6147" max="6147" width="18.85546875" customWidth="1"/>
    <col min="6148" max="6148" width="24.5703125" customWidth="1"/>
    <col min="6397" max="6397" width="20.140625" customWidth="1"/>
    <col min="6398" max="6398" width="11.5703125" customWidth="1"/>
    <col min="6399" max="6399" width="17.7109375" customWidth="1"/>
    <col min="6400" max="6400" width="16.85546875" customWidth="1"/>
    <col min="6401" max="6402" width="10" customWidth="1"/>
    <col min="6403" max="6403" width="18.85546875" customWidth="1"/>
    <col min="6404" max="6404" width="24.5703125" customWidth="1"/>
    <col min="6653" max="6653" width="20.140625" customWidth="1"/>
    <col min="6654" max="6654" width="11.5703125" customWidth="1"/>
    <col min="6655" max="6655" width="17.7109375" customWidth="1"/>
    <col min="6656" max="6656" width="16.85546875" customWidth="1"/>
    <col min="6657" max="6658" width="10" customWidth="1"/>
    <col min="6659" max="6659" width="18.85546875" customWidth="1"/>
    <col min="6660" max="6660" width="24.5703125" customWidth="1"/>
    <col min="6909" max="6909" width="20.140625" customWidth="1"/>
    <col min="6910" max="6910" width="11.5703125" customWidth="1"/>
    <col min="6911" max="6911" width="17.7109375" customWidth="1"/>
    <col min="6912" max="6912" width="16.85546875" customWidth="1"/>
    <col min="6913" max="6914" width="10" customWidth="1"/>
    <col min="6915" max="6915" width="18.85546875" customWidth="1"/>
    <col min="6916" max="6916" width="24.5703125" customWidth="1"/>
    <col min="7165" max="7165" width="20.140625" customWidth="1"/>
    <col min="7166" max="7166" width="11.5703125" customWidth="1"/>
    <col min="7167" max="7167" width="17.7109375" customWidth="1"/>
    <col min="7168" max="7168" width="16.85546875" customWidth="1"/>
    <col min="7169" max="7170" width="10" customWidth="1"/>
    <col min="7171" max="7171" width="18.85546875" customWidth="1"/>
    <col min="7172" max="7172" width="24.5703125" customWidth="1"/>
    <col min="7421" max="7421" width="20.140625" customWidth="1"/>
    <col min="7422" max="7422" width="11.5703125" customWidth="1"/>
    <col min="7423" max="7423" width="17.7109375" customWidth="1"/>
    <col min="7424" max="7424" width="16.85546875" customWidth="1"/>
    <col min="7425" max="7426" width="10" customWidth="1"/>
    <col min="7427" max="7427" width="18.85546875" customWidth="1"/>
    <col min="7428" max="7428" width="24.5703125" customWidth="1"/>
    <col min="7677" max="7677" width="20.140625" customWidth="1"/>
    <col min="7678" max="7678" width="11.5703125" customWidth="1"/>
    <col min="7679" max="7679" width="17.7109375" customWidth="1"/>
    <col min="7680" max="7680" width="16.85546875" customWidth="1"/>
    <col min="7681" max="7682" width="10" customWidth="1"/>
    <col min="7683" max="7683" width="18.85546875" customWidth="1"/>
    <col min="7684" max="7684" width="24.5703125" customWidth="1"/>
    <col min="7933" max="7933" width="20.140625" customWidth="1"/>
    <col min="7934" max="7934" width="11.5703125" customWidth="1"/>
    <col min="7935" max="7935" width="17.7109375" customWidth="1"/>
    <col min="7936" max="7936" width="16.85546875" customWidth="1"/>
    <col min="7937" max="7938" width="10" customWidth="1"/>
    <col min="7939" max="7939" width="18.85546875" customWidth="1"/>
    <col min="7940" max="7940" width="24.5703125" customWidth="1"/>
    <col min="8189" max="8189" width="20.140625" customWidth="1"/>
    <col min="8190" max="8190" width="11.5703125" customWidth="1"/>
    <col min="8191" max="8191" width="17.7109375" customWidth="1"/>
    <col min="8192" max="8192" width="16.85546875" customWidth="1"/>
    <col min="8193" max="8194" width="10" customWidth="1"/>
    <col min="8195" max="8195" width="18.85546875" customWidth="1"/>
    <col min="8196" max="8196" width="24.5703125" customWidth="1"/>
    <col min="8445" max="8445" width="20.140625" customWidth="1"/>
    <col min="8446" max="8446" width="11.5703125" customWidth="1"/>
    <col min="8447" max="8447" width="17.7109375" customWidth="1"/>
    <col min="8448" max="8448" width="16.85546875" customWidth="1"/>
    <col min="8449" max="8450" width="10" customWidth="1"/>
    <col min="8451" max="8451" width="18.85546875" customWidth="1"/>
    <col min="8452" max="8452" width="24.5703125" customWidth="1"/>
    <col min="8701" max="8701" width="20.140625" customWidth="1"/>
    <col min="8702" max="8702" width="11.5703125" customWidth="1"/>
    <col min="8703" max="8703" width="17.7109375" customWidth="1"/>
    <col min="8704" max="8704" width="16.85546875" customWidth="1"/>
    <col min="8705" max="8706" width="10" customWidth="1"/>
    <col min="8707" max="8707" width="18.85546875" customWidth="1"/>
    <col min="8708" max="8708" width="24.5703125" customWidth="1"/>
    <col min="8957" max="8957" width="20.140625" customWidth="1"/>
    <col min="8958" max="8958" width="11.5703125" customWidth="1"/>
    <col min="8959" max="8959" width="17.7109375" customWidth="1"/>
    <col min="8960" max="8960" width="16.85546875" customWidth="1"/>
    <col min="8961" max="8962" width="10" customWidth="1"/>
    <col min="8963" max="8963" width="18.85546875" customWidth="1"/>
    <col min="8964" max="8964" width="24.5703125" customWidth="1"/>
    <col min="9213" max="9213" width="20.140625" customWidth="1"/>
    <col min="9214" max="9214" width="11.5703125" customWidth="1"/>
    <col min="9215" max="9215" width="17.7109375" customWidth="1"/>
    <col min="9216" max="9216" width="16.85546875" customWidth="1"/>
    <col min="9217" max="9218" width="10" customWidth="1"/>
    <col min="9219" max="9219" width="18.85546875" customWidth="1"/>
    <col min="9220" max="9220" width="24.5703125" customWidth="1"/>
    <col min="9469" max="9469" width="20.140625" customWidth="1"/>
    <col min="9470" max="9470" width="11.5703125" customWidth="1"/>
    <col min="9471" max="9471" width="17.7109375" customWidth="1"/>
    <col min="9472" max="9472" width="16.85546875" customWidth="1"/>
    <col min="9473" max="9474" width="10" customWidth="1"/>
    <col min="9475" max="9475" width="18.85546875" customWidth="1"/>
    <col min="9476" max="9476" width="24.5703125" customWidth="1"/>
    <col min="9725" max="9725" width="20.140625" customWidth="1"/>
    <col min="9726" max="9726" width="11.5703125" customWidth="1"/>
    <col min="9727" max="9727" width="17.7109375" customWidth="1"/>
    <col min="9728" max="9728" width="16.85546875" customWidth="1"/>
    <col min="9729" max="9730" width="10" customWidth="1"/>
    <col min="9731" max="9731" width="18.85546875" customWidth="1"/>
    <col min="9732" max="9732" width="24.5703125" customWidth="1"/>
    <col min="9981" max="9981" width="20.140625" customWidth="1"/>
    <col min="9982" max="9982" width="11.5703125" customWidth="1"/>
    <col min="9983" max="9983" width="17.7109375" customWidth="1"/>
    <col min="9984" max="9984" width="16.85546875" customWidth="1"/>
    <col min="9985" max="9986" width="10" customWidth="1"/>
    <col min="9987" max="9987" width="18.85546875" customWidth="1"/>
    <col min="9988" max="9988" width="24.5703125" customWidth="1"/>
    <col min="10237" max="10237" width="20.140625" customWidth="1"/>
    <col min="10238" max="10238" width="11.5703125" customWidth="1"/>
    <col min="10239" max="10239" width="17.7109375" customWidth="1"/>
    <col min="10240" max="10240" width="16.85546875" customWidth="1"/>
    <col min="10241" max="10242" width="10" customWidth="1"/>
    <col min="10243" max="10243" width="18.85546875" customWidth="1"/>
    <col min="10244" max="10244" width="24.5703125" customWidth="1"/>
    <col min="10493" max="10493" width="20.140625" customWidth="1"/>
    <col min="10494" max="10494" width="11.5703125" customWidth="1"/>
    <col min="10495" max="10495" width="17.7109375" customWidth="1"/>
    <col min="10496" max="10496" width="16.85546875" customWidth="1"/>
    <col min="10497" max="10498" width="10" customWidth="1"/>
    <col min="10499" max="10499" width="18.85546875" customWidth="1"/>
    <col min="10500" max="10500" width="24.5703125" customWidth="1"/>
    <col min="10749" max="10749" width="20.140625" customWidth="1"/>
    <col min="10750" max="10750" width="11.5703125" customWidth="1"/>
    <col min="10751" max="10751" width="17.7109375" customWidth="1"/>
    <col min="10752" max="10752" width="16.85546875" customWidth="1"/>
    <col min="10753" max="10754" width="10" customWidth="1"/>
    <col min="10755" max="10755" width="18.85546875" customWidth="1"/>
    <col min="10756" max="10756" width="24.5703125" customWidth="1"/>
    <col min="11005" max="11005" width="20.140625" customWidth="1"/>
    <col min="11006" max="11006" width="11.5703125" customWidth="1"/>
    <col min="11007" max="11007" width="17.7109375" customWidth="1"/>
    <col min="11008" max="11008" width="16.85546875" customWidth="1"/>
    <col min="11009" max="11010" width="10" customWidth="1"/>
    <col min="11011" max="11011" width="18.85546875" customWidth="1"/>
    <col min="11012" max="11012" width="24.5703125" customWidth="1"/>
    <col min="11261" max="11261" width="20.140625" customWidth="1"/>
    <col min="11262" max="11262" width="11.5703125" customWidth="1"/>
    <col min="11263" max="11263" width="17.7109375" customWidth="1"/>
    <col min="11264" max="11264" width="16.85546875" customWidth="1"/>
    <col min="11265" max="11266" width="10" customWidth="1"/>
    <col min="11267" max="11267" width="18.85546875" customWidth="1"/>
    <col min="11268" max="11268" width="24.5703125" customWidth="1"/>
    <col min="11517" max="11517" width="20.140625" customWidth="1"/>
    <col min="11518" max="11518" width="11.5703125" customWidth="1"/>
    <col min="11519" max="11519" width="17.7109375" customWidth="1"/>
    <col min="11520" max="11520" width="16.85546875" customWidth="1"/>
    <col min="11521" max="11522" width="10" customWidth="1"/>
    <col min="11523" max="11523" width="18.85546875" customWidth="1"/>
    <col min="11524" max="11524" width="24.5703125" customWidth="1"/>
    <col min="11773" max="11773" width="20.140625" customWidth="1"/>
    <col min="11774" max="11774" width="11.5703125" customWidth="1"/>
    <col min="11775" max="11775" width="17.7109375" customWidth="1"/>
    <col min="11776" max="11776" width="16.85546875" customWidth="1"/>
    <col min="11777" max="11778" width="10" customWidth="1"/>
    <col min="11779" max="11779" width="18.85546875" customWidth="1"/>
    <col min="11780" max="11780" width="24.5703125" customWidth="1"/>
    <col min="12029" max="12029" width="20.140625" customWidth="1"/>
    <col min="12030" max="12030" width="11.5703125" customWidth="1"/>
    <col min="12031" max="12031" width="17.7109375" customWidth="1"/>
    <col min="12032" max="12032" width="16.85546875" customWidth="1"/>
    <col min="12033" max="12034" width="10" customWidth="1"/>
    <col min="12035" max="12035" width="18.85546875" customWidth="1"/>
    <col min="12036" max="12036" width="24.5703125" customWidth="1"/>
    <col min="12285" max="12285" width="20.140625" customWidth="1"/>
    <col min="12286" max="12286" width="11.5703125" customWidth="1"/>
    <col min="12287" max="12287" width="17.7109375" customWidth="1"/>
    <col min="12288" max="12288" width="16.85546875" customWidth="1"/>
    <col min="12289" max="12290" width="10" customWidth="1"/>
    <col min="12291" max="12291" width="18.85546875" customWidth="1"/>
    <col min="12292" max="12292" width="24.5703125" customWidth="1"/>
    <col min="12541" max="12541" width="20.140625" customWidth="1"/>
    <col min="12542" max="12542" width="11.5703125" customWidth="1"/>
    <col min="12543" max="12543" width="17.7109375" customWidth="1"/>
    <col min="12544" max="12544" width="16.85546875" customWidth="1"/>
    <col min="12545" max="12546" width="10" customWidth="1"/>
    <col min="12547" max="12547" width="18.85546875" customWidth="1"/>
    <col min="12548" max="12548" width="24.5703125" customWidth="1"/>
    <col min="12797" max="12797" width="20.140625" customWidth="1"/>
    <col min="12798" max="12798" width="11.5703125" customWidth="1"/>
    <col min="12799" max="12799" width="17.7109375" customWidth="1"/>
    <col min="12800" max="12800" width="16.85546875" customWidth="1"/>
    <col min="12801" max="12802" width="10" customWidth="1"/>
    <col min="12803" max="12803" width="18.85546875" customWidth="1"/>
    <col min="12804" max="12804" width="24.5703125" customWidth="1"/>
    <col min="13053" max="13053" width="20.140625" customWidth="1"/>
    <col min="13054" max="13054" width="11.5703125" customWidth="1"/>
    <col min="13055" max="13055" width="17.7109375" customWidth="1"/>
    <col min="13056" max="13056" width="16.85546875" customWidth="1"/>
    <col min="13057" max="13058" width="10" customWidth="1"/>
    <col min="13059" max="13059" width="18.85546875" customWidth="1"/>
    <col min="13060" max="13060" width="24.5703125" customWidth="1"/>
    <col min="13309" max="13309" width="20.140625" customWidth="1"/>
    <col min="13310" max="13310" width="11.5703125" customWidth="1"/>
    <col min="13311" max="13311" width="17.7109375" customWidth="1"/>
    <col min="13312" max="13312" width="16.85546875" customWidth="1"/>
    <col min="13313" max="13314" width="10" customWidth="1"/>
    <col min="13315" max="13315" width="18.85546875" customWidth="1"/>
    <col min="13316" max="13316" width="24.5703125" customWidth="1"/>
    <col min="13565" max="13565" width="20.140625" customWidth="1"/>
    <col min="13566" max="13566" width="11.5703125" customWidth="1"/>
    <col min="13567" max="13567" width="17.7109375" customWidth="1"/>
    <col min="13568" max="13568" width="16.85546875" customWidth="1"/>
    <col min="13569" max="13570" width="10" customWidth="1"/>
    <col min="13571" max="13571" width="18.85546875" customWidth="1"/>
    <col min="13572" max="13572" width="24.5703125" customWidth="1"/>
    <col min="13821" max="13821" width="20.140625" customWidth="1"/>
    <col min="13822" max="13822" width="11.5703125" customWidth="1"/>
    <col min="13823" max="13823" width="17.7109375" customWidth="1"/>
    <col min="13824" max="13824" width="16.85546875" customWidth="1"/>
    <col min="13825" max="13826" width="10" customWidth="1"/>
    <col min="13827" max="13827" width="18.85546875" customWidth="1"/>
    <col min="13828" max="13828" width="24.5703125" customWidth="1"/>
    <col min="14077" max="14077" width="20.140625" customWidth="1"/>
    <col min="14078" max="14078" width="11.5703125" customWidth="1"/>
    <col min="14079" max="14079" width="17.7109375" customWidth="1"/>
    <col min="14080" max="14080" width="16.85546875" customWidth="1"/>
    <col min="14081" max="14082" width="10" customWidth="1"/>
    <col min="14083" max="14083" width="18.85546875" customWidth="1"/>
    <col min="14084" max="14084" width="24.5703125" customWidth="1"/>
    <col min="14333" max="14333" width="20.140625" customWidth="1"/>
    <col min="14334" max="14334" width="11.5703125" customWidth="1"/>
    <col min="14335" max="14335" width="17.7109375" customWidth="1"/>
    <col min="14336" max="14336" width="16.85546875" customWidth="1"/>
    <col min="14337" max="14338" width="10" customWidth="1"/>
    <col min="14339" max="14339" width="18.85546875" customWidth="1"/>
    <col min="14340" max="14340" width="24.5703125" customWidth="1"/>
    <col min="14589" max="14589" width="20.140625" customWidth="1"/>
    <col min="14590" max="14590" width="11.5703125" customWidth="1"/>
    <col min="14591" max="14591" width="17.7109375" customWidth="1"/>
    <col min="14592" max="14592" width="16.85546875" customWidth="1"/>
    <col min="14593" max="14594" width="10" customWidth="1"/>
    <col min="14595" max="14595" width="18.85546875" customWidth="1"/>
    <col min="14596" max="14596" width="24.5703125" customWidth="1"/>
    <col min="14845" max="14845" width="20.140625" customWidth="1"/>
    <col min="14846" max="14846" width="11.5703125" customWidth="1"/>
    <col min="14847" max="14847" width="17.7109375" customWidth="1"/>
    <col min="14848" max="14848" width="16.85546875" customWidth="1"/>
    <col min="14849" max="14850" width="10" customWidth="1"/>
    <col min="14851" max="14851" width="18.85546875" customWidth="1"/>
    <col min="14852" max="14852" width="24.5703125" customWidth="1"/>
    <col min="15101" max="15101" width="20.140625" customWidth="1"/>
    <col min="15102" max="15102" width="11.5703125" customWidth="1"/>
    <col min="15103" max="15103" width="17.7109375" customWidth="1"/>
    <col min="15104" max="15104" width="16.85546875" customWidth="1"/>
    <col min="15105" max="15106" width="10" customWidth="1"/>
    <col min="15107" max="15107" width="18.85546875" customWidth="1"/>
    <col min="15108" max="15108" width="24.5703125" customWidth="1"/>
    <col min="15357" max="15357" width="20.140625" customWidth="1"/>
    <col min="15358" max="15358" width="11.5703125" customWidth="1"/>
    <col min="15359" max="15359" width="17.7109375" customWidth="1"/>
    <col min="15360" max="15360" width="16.85546875" customWidth="1"/>
    <col min="15361" max="15362" width="10" customWidth="1"/>
    <col min="15363" max="15363" width="18.85546875" customWidth="1"/>
    <col min="15364" max="15364" width="24.5703125" customWidth="1"/>
    <col min="15613" max="15613" width="20.140625" customWidth="1"/>
    <col min="15614" max="15614" width="11.5703125" customWidth="1"/>
    <col min="15615" max="15615" width="17.7109375" customWidth="1"/>
    <col min="15616" max="15616" width="16.85546875" customWidth="1"/>
    <col min="15617" max="15618" width="10" customWidth="1"/>
    <col min="15619" max="15619" width="18.85546875" customWidth="1"/>
    <col min="15620" max="15620" width="24.5703125" customWidth="1"/>
    <col min="15869" max="15869" width="20.140625" customWidth="1"/>
    <col min="15870" max="15870" width="11.5703125" customWidth="1"/>
    <col min="15871" max="15871" width="17.7109375" customWidth="1"/>
    <col min="15872" max="15872" width="16.85546875" customWidth="1"/>
    <col min="15873" max="15874" width="10" customWidth="1"/>
    <col min="15875" max="15875" width="18.85546875" customWidth="1"/>
    <col min="15876" max="15876" width="24.5703125" customWidth="1"/>
    <col min="16125" max="16125" width="20.140625" customWidth="1"/>
    <col min="16126" max="16126" width="11.5703125" customWidth="1"/>
    <col min="16127" max="16127" width="17.7109375" customWidth="1"/>
    <col min="16128" max="16128" width="16.85546875" customWidth="1"/>
    <col min="16129" max="16130" width="10" customWidth="1"/>
    <col min="16131" max="16131" width="18.85546875" customWidth="1"/>
    <col min="16132" max="16132" width="24.5703125" customWidth="1"/>
  </cols>
  <sheetData>
    <row r="1" spans="1:13" ht="23.25" customHeight="1" x14ac:dyDescent="0.3">
      <c r="A1" s="56" t="s">
        <v>210</v>
      </c>
      <c r="B1" s="57" t="s">
        <v>15</v>
      </c>
      <c r="C1" s="58"/>
      <c r="D1" s="59"/>
      <c r="E1" s="59"/>
      <c r="F1" s="59"/>
      <c r="G1" s="60"/>
      <c r="H1" s="59"/>
      <c r="I1" s="59"/>
    </row>
    <row r="2" spans="1:13" x14ac:dyDescent="0.2">
      <c r="A2" s="61"/>
    </row>
    <row r="3" spans="1:13" x14ac:dyDescent="0.2">
      <c r="A3" s="62" t="s">
        <v>16</v>
      </c>
      <c r="B3" s="63"/>
      <c r="C3" s="64"/>
      <c r="D3" s="63"/>
      <c r="E3" s="63"/>
      <c r="F3" s="63"/>
      <c r="G3" s="63"/>
      <c r="H3" s="65"/>
      <c r="I3" s="65"/>
    </row>
    <row r="4" spans="1:13" ht="13.5" thickBot="1" x14ac:dyDescent="0.25">
      <c r="A4" s="61"/>
    </row>
    <row r="5" spans="1:13" ht="31.5" customHeight="1" x14ac:dyDescent="0.2">
      <c r="A5" s="66" t="s">
        <v>17</v>
      </c>
      <c r="B5" s="67"/>
      <c r="C5" s="68"/>
      <c r="D5" s="69" t="s">
        <v>124</v>
      </c>
      <c r="E5" s="69"/>
      <c r="F5" s="5" t="s">
        <v>13</v>
      </c>
      <c r="G5" s="5" t="s">
        <v>207</v>
      </c>
      <c r="H5" s="95"/>
      <c r="I5" s="95"/>
    </row>
    <row r="6" spans="1:13" ht="18" customHeight="1" x14ac:dyDescent="0.2">
      <c r="A6" s="70" t="s">
        <v>18</v>
      </c>
      <c r="B6" s="71"/>
      <c r="C6" s="72"/>
      <c r="D6" s="73">
        <v>45730</v>
      </c>
      <c r="E6" s="73"/>
      <c r="F6" s="191">
        <f>SUM(F17:F75)</f>
        <v>10946.122052991299</v>
      </c>
      <c r="G6" s="191">
        <f>SUM(E17:E75)</f>
        <v>7046.8809594900595</v>
      </c>
      <c r="H6" s="96"/>
      <c r="I6" s="96"/>
    </row>
    <row r="7" spans="1:13" ht="13.5" thickBot="1" x14ac:dyDescent="0.25">
      <c r="A7" s="74" t="s">
        <v>19</v>
      </c>
      <c r="B7" s="75"/>
      <c r="C7" s="76"/>
      <c r="D7" s="77" t="s">
        <v>20</v>
      </c>
      <c r="E7" s="77"/>
      <c r="F7" s="77"/>
      <c r="G7" s="77"/>
      <c r="H7" s="77"/>
      <c r="I7" s="77"/>
    </row>
    <row r="8" spans="1:13" ht="3" customHeight="1" thickBot="1" x14ac:dyDescent="0.25">
      <c r="A8" s="61"/>
      <c r="D8" s="78"/>
      <c r="E8" s="78"/>
    </row>
    <row r="9" spans="1:13" ht="27.75" customHeight="1" thickBot="1" x14ac:dyDescent="0.25">
      <c r="A9" s="79" t="s">
        <v>21</v>
      </c>
      <c r="B9" s="187" t="s">
        <v>22</v>
      </c>
      <c r="C9" s="80"/>
      <c r="D9" s="78"/>
      <c r="E9" s="78"/>
      <c r="H9" s="1"/>
    </row>
    <row r="10" spans="1:13" ht="13.5" thickBot="1" x14ac:dyDescent="0.25">
      <c r="A10" s="61"/>
      <c r="B10" s="1"/>
    </row>
    <row r="11" spans="1:13" ht="15" customHeight="1" x14ac:dyDescent="0.25">
      <c r="A11" s="81" t="s">
        <v>23</v>
      </c>
      <c r="B11" s="188"/>
      <c r="C11" s="83"/>
      <c r="D11" s="82"/>
      <c r="E11" s="82"/>
      <c r="F11" s="82"/>
      <c r="G11" s="82"/>
      <c r="H11" s="84"/>
      <c r="I11" s="98"/>
    </row>
    <row r="12" spans="1:13" ht="13.5" customHeight="1" thickBot="1" x14ac:dyDescent="0.25">
      <c r="A12" s="61"/>
      <c r="B12" s="1"/>
      <c r="F12" s="1"/>
      <c r="G12" s="1"/>
      <c r="H12" s="1"/>
      <c r="I12" s="1"/>
    </row>
    <row r="13" spans="1:13" x14ac:dyDescent="0.2">
      <c r="A13" s="85" t="s">
        <v>24</v>
      </c>
      <c r="B13" s="189">
        <v>132.53</v>
      </c>
      <c r="D13" s="38"/>
      <c r="F13" s="3"/>
      <c r="G13" s="3"/>
      <c r="H13" s="3"/>
      <c r="I13" s="3"/>
    </row>
    <row r="14" spans="1:13" ht="13.5" thickBot="1" x14ac:dyDescent="0.25">
      <c r="A14" s="86" t="s">
        <v>25</v>
      </c>
      <c r="B14" s="190">
        <v>7.11</v>
      </c>
      <c r="F14" s="214"/>
      <c r="G14" s="214"/>
      <c r="H14" s="214"/>
      <c r="I14" s="214"/>
    </row>
    <row r="15" spans="1:13" s="32" customFormat="1" thickBot="1" x14ac:dyDescent="0.25">
      <c r="A15" s="87"/>
      <c r="B15" s="88"/>
      <c r="C15" s="89"/>
      <c r="D15" s="88"/>
      <c r="E15" s="88"/>
      <c r="F15" s="88"/>
      <c r="G15" s="88"/>
      <c r="H15" s="90"/>
      <c r="I15" s="90"/>
      <c r="J15" s="4"/>
      <c r="K15" s="4"/>
      <c r="L15" s="4"/>
      <c r="M15" s="4"/>
    </row>
    <row r="16" spans="1:13" s="51" customFormat="1" ht="45.75" customHeight="1" x14ac:dyDescent="0.2">
      <c r="A16" s="94" t="s">
        <v>283</v>
      </c>
      <c r="B16" s="52" t="s">
        <v>26</v>
      </c>
      <c r="C16" s="53" t="s">
        <v>85</v>
      </c>
      <c r="D16" s="54" t="s">
        <v>208</v>
      </c>
      <c r="E16" s="192" t="s">
        <v>206</v>
      </c>
      <c r="F16" s="192" t="s">
        <v>27</v>
      </c>
      <c r="G16" s="55" t="s">
        <v>84</v>
      </c>
      <c r="H16" s="55" t="s">
        <v>80</v>
      </c>
      <c r="I16" s="97" t="s">
        <v>182</v>
      </c>
      <c r="J16" s="42"/>
      <c r="K16" s="42"/>
      <c r="L16" s="42"/>
      <c r="M16" s="42"/>
    </row>
    <row r="17" spans="1:13" s="32" customFormat="1" ht="12" x14ac:dyDescent="0.2">
      <c r="A17" s="43" t="s">
        <v>125</v>
      </c>
      <c r="B17" s="44">
        <f>(137+139+139)/3</f>
        <v>138.33333333333334</v>
      </c>
      <c r="C17" s="45">
        <v>4499.2399999999971</v>
      </c>
      <c r="D17" s="44">
        <f>+(9.1+9.2+8.8)/3</f>
        <v>9.0333333333333332</v>
      </c>
      <c r="E17" s="33">
        <f>(C17*B17*D17)/(1000*1000)</f>
        <v>5.6223002955555526</v>
      </c>
      <c r="F17" s="34">
        <f t="shared" ref="F17:F37" si="0">(C17*$B$13*B17*D17)/(12*$B$14*1000*1000)</f>
        <v>8.7332801004451159</v>
      </c>
      <c r="G17" s="6" t="s">
        <v>100</v>
      </c>
      <c r="H17" s="6"/>
      <c r="I17" s="46" t="s">
        <v>183</v>
      </c>
      <c r="J17" s="4"/>
      <c r="K17" s="4"/>
      <c r="L17" s="4"/>
      <c r="M17" s="4"/>
    </row>
    <row r="18" spans="1:13" s="32" customFormat="1" ht="12" x14ac:dyDescent="0.2">
      <c r="A18" s="43" t="s">
        <v>126</v>
      </c>
      <c r="B18" s="44">
        <v>135</v>
      </c>
      <c r="C18" s="31">
        <v>3707.2299999999973</v>
      </c>
      <c r="D18" s="44">
        <v>6.7</v>
      </c>
      <c r="E18" s="33">
        <f t="shared" ref="E18:E37" si="1">(C18*B18*D18)/(1000*1000)</f>
        <v>3.3531895349999976</v>
      </c>
      <c r="F18" s="34">
        <f t="shared" si="0"/>
        <v>5.2086053571677171</v>
      </c>
      <c r="G18" s="6" t="s">
        <v>101</v>
      </c>
      <c r="H18" s="6"/>
      <c r="I18" s="46" t="s">
        <v>205</v>
      </c>
      <c r="J18" s="4"/>
      <c r="K18" s="4"/>
      <c r="L18" s="4"/>
      <c r="M18" s="4"/>
    </row>
    <row r="19" spans="1:13" s="32" customFormat="1" ht="12" x14ac:dyDescent="0.2">
      <c r="A19" s="43" t="s">
        <v>28</v>
      </c>
      <c r="B19" s="44">
        <f>SUMIFS([1]Hoja1!$G:$G,[1]Hoja1!$B:$B,A19)</f>
        <v>90.666666666666671</v>
      </c>
      <c r="C19" s="31">
        <v>4590.0499999999956</v>
      </c>
      <c r="D19" s="44">
        <f>SUMIFS([1]Hoja1!$F:$F,[1]Hoja1!$B:$B,A19)</f>
        <v>52.033333333333331</v>
      </c>
      <c r="E19" s="33">
        <f t="shared" si="1"/>
        <v>21.654427884444427</v>
      </c>
      <c r="F19" s="34">
        <f t="shared" si="0"/>
        <v>33.636443126176971</v>
      </c>
      <c r="G19" s="6" t="s">
        <v>96</v>
      </c>
      <c r="H19" s="6"/>
      <c r="I19" s="46" t="s">
        <v>329</v>
      </c>
      <c r="J19" s="4"/>
      <c r="K19" s="4"/>
      <c r="L19" s="4"/>
      <c r="M19" s="4"/>
    </row>
    <row r="20" spans="1:13" s="32" customFormat="1" ht="12" x14ac:dyDescent="0.2">
      <c r="A20" s="43" t="s">
        <v>127</v>
      </c>
      <c r="B20" s="44">
        <v>97</v>
      </c>
      <c r="C20" s="45">
        <v>5798.2899999999963</v>
      </c>
      <c r="D20" s="44">
        <v>18.2</v>
      </c>
      <c r="E20" s="33">
        <f t="shared" si="1"/>
        <v>10.236301165999993</v>
      </c>
      <c r="F20" s="34">
        <f t="shared" si="0"/>
        <v>15.900339821026474</v>
      </c>
      <c r="G20" s="6" t="s">
        <v>97</v>
      </c>
      <c r="H20" s="6"/>
      <c r="I20" s="46" t="s">
        <v>279</v>
      </c>
      <c r="J20" s="4"/>
      <c r="K20" s="4"/>
      <c r="L20" s="4"/>
      <c r="M20" s="4"/>
    </row>
    <row r="21" spans="1:13" s="32" customFormat="1" ht="12" x14ac:dyDescent="0.2">
      <c r="A21" s="43" t="s">
        <v>128</v>
      </c>
      <c r="B21" s="44">
        <v>93</v>
      </c>
      <c r="C21" s="31">
        <v>1305.3700000000001</v>
      </c>
      <c r="D21" s="44">
        <v>45.6</v>
      </c>
      <c r="E21" s="33">
        <f t="shared" si="1"/>
        <v>5.5358130960000009</v>
      </c>
      <c r="F21" s="34">
        <f t="shared" si="0"/>
        <v>8.5989370559409277</v>
      </c>
      <c r="G21" s="6" t="s">
        <v>98</v>
      </c>
      <c r="H21" s="6"/>
      <c r="I21" s="46" t="s">
        <v>205</v>
      </c>
      <c r="J21" s="4"/>
      <c r="K21" s="4"/>
      <c r="L21" s="4"/>
      <c r="M21" s="4"/>
    </row>
    <row r="22" spans="1:13" s="32" customFormat="1" ht="12" customHeight="1" x14ac:dyDescent="0.2">
      <c r="A22" s="43" t="s">
        <v>29</v>
      </c>
      <c r="B22" s="44">
        <f>SUMIFS([1]Hoja1!$G:$G,[1]Hoja1!$B:$B,A22)</f>
        <v>95</v>
      </c>
      <c r="C22" s="31">
        <v>1847.3700000000006</v>
      </c>
      <c r="D22" s="44">
        <f>SUMIFS([1]Hoja1!$F:$F,[1]Hoja1!$B:$B,A22)</f>
        <v>21.133333333333333</v>
      </c>
      <c r="E22" s="33">
        <f t="shared" si="1"/>
        <v>3.708903170000001</v>
      </c>
      <c r="F22" s="34">
        <f t="shared" si="0"/>
        <v>5.7611455358661523</v>
      </c>
      <c r="G22" s="6" t="s">
        <v>99</v>
      </c>
      <c r="H22" s="6"/>
      <c r="I22" s="46" t="s">
        <v>329</v>
      </c>
      <c r="J22" s="4"/>
      <c r="K22" s="4"/>
      <c r="L22" s="4"/>
      <c r="M22" s="4"/>
    </row>
    <row r="23" spans="1:13" s="32" customFormat="1" ht="12" x14ac:dyDescent="0.2">
      <c r="A23" s="43" t="s">
        <v>30</v>
      </c>
      <c r="B23" s="44">
        <f>SUMIFS([1]Hoja1!$G:$G,[1]Hoja1!$B:$B,A23)</f>
        <v>97.333333333333329</v>
      </c>
      <c r="C23" s="45">
        <v>6579.8399999999938</v>
      </c>
      <c r="D23" s="44">
        <f>SUMIFS([1]Hoja1!$F:$F,[1]Hoja1!$B:$B,A23)</f>
        <v>18.633333333333333</v>
      </c>
      <c r="E23" s="33">
        <f>(C23*B23*D23)/(1000*1000)</f>
        <v>11.93349026133332</v>
      </c>
      <c r="F23" s="34">
        <f t="shared" si="0"/>
        <v>18.536632258960442</v>
      </c>
      <c r="G23" s="6" t="s">
        <v>91</v>
      </c>
      <c r="H23" s="6"/>
      <c r="I23" s="46" t="s">
        <v>329</v>
      </c>
      <c r="J23" s="4"/>
      <c r="K23" s="4"/>
      <c r="L23" s="4"/>
      <c r="M23" s="4"/>
    </row>
    <row r="24" spans="1:13" s="32" customFormat="1" ht="12" x14ac:dyDescent="0.2">
      <c r="A24" s="43" t="s">
        <v>31</v>
      </c>
      <c r="B24" s="44">
        <v>95</v>
      </c>
      <c r="C24" s="45">
        <v>2442.4099999999994</v>
      </c>
      <c r="D24" s="44">
        <v>13.96</v>
      </c>
      <c r="E24" s="33">
        <f t="shared" si="1"/>
        <v>3.2391241419999997</v>
      </c>
      <c r="F24" s="34">
        <f t="shared" si="0"/>
        <v>5.0314243148061397</v>
      </c>
      <c r="G24" s="6" t="s">
        <v>92</v>
      </c>
      <c r="H24" s="6"/>
      <c r="I24" s="46" t="s">
        <v>211</v>
      </c>
      <c r="J24" s="4"/>
      <c r="K24" s="4"/>
      <c r="L24" s="4"/>
      <c r="M24" s="4"/>
    </row>
    <row r="25" spans="1:13" s="32" customFormat="1" ht="12" x14ac:dyDescent="0.2">
      <c r="A25" s="43" t="s">
        <v>32</v>
      </c>
      <c r="B25" s="44">
        <v>88</v>
      </c>
      <c r="C25" s="45">
        <v>1661.9100000000003</v>
      </c>
      <c r="D25" s="44">
        <v>23.6</v>
      </c>
      <c r="E25" s="33">
        <f t="shared" si="1"/>
        <v>3.4514546880000005</v>
      </c>
      <c r="F25" s="34">
        <f t="shared" si="0"/>
        <v>5.3612434341378341</v>
      </c>
      <c r="G25" s="6" t="s">
        <v>93</v>
      </c>
      <c r="H25" s="6"/>
      <c r="I25" s="46" t="s">
        <v>211</v>
      </c>
      <c r="J25" s="4"/>
      <c r="K25" s="4"/>
      <c r="L25" s="4"/>
      <c r="M25" s="4"/>
    </row>
    <row r="26" spans="1:13" s="32" customFormat="1" ht="12" x14ac:dyDescent="0.2">
      <c r="A26" s="43" t="s">
        <v>33</v>
      </c>
      <c r="B26" s="44">
        <v>397</v>
      </c>
      <c r="C26" s="45">
        <v>5488.4349999999959</v>
      </c>
      <c r="D26" s="44">
        <v>24.4</v>
      </c>
      <c r="E26" s="33">
        <f t="shared" si="1"/>
        <v>53.165372157999954</v>
      </c>
      <c r="F26" s="34">
        <f t="shared" si="0"/>
        <v>82.583295500465709</v>
      </c>
      <c r="G26" s="6" t="s">
        <v>94</v>
      </c>
      <c r="H26" s="6"/>
      <c r="I26" s="46" t="s">
        <v>211</v>
      </c>
      <c r="J26" s="4"/>
      <c r="K26" s="4"/>
      <c r="L26" s="4"/>
      <c r="M26" s="4"/>
    </row>
    <row r="27" spans="1:13" s="32" customFormat="1" ht="12" x14ac:dyDescent="0.2">
      <c r="A27" s="99" t="s">
        <v>34</v>
      </c>
      <c r="B27" s="100">
        <v>461</v>
      </c>
      <c r="C27" s="101">
        <v>0</v>
      </c>
      <c r="D27" s="100">
        <v>9.3000000000000007</v>
      </c>
      <c r="E27" s="100">
        <f t="shared" si="1"/>
        <v>0</v>
      </c>
      <c r="F27" s="102">
        <f t="shared" si="0"/>
        <v>0</v>
      </c>
      <c r="G27" s="103" t="s">
        <v>95</v>
      </c>
      <c r="H27" s="103"/>
      <c r="I27" s="104" t="s">
        <v>284</v>
      </c>
      <c r="J27" s="4"/>
      <c r="K27" s="4"/>
      <c r="L27" s="4"/>
      <c r="M27" s="4"/>
    </row>
    <row r="28" spans="1:13" s="32" customFormat="1" ht="12" x14ac:dyDescent="0.2">
      <c r="A28" s="43" t="s">
        <v>129</v>
      </c>
      <c r="B28" s="44">
        <f>SUMIFS([1]Hoja1!$G:$G,[1]Hoja1!$B:$B,A28)</f>
        <v>1257</v>
      </c>
      <c r="C28" s="31">
        <v>7716.114999999988</v>
      </c>
      <c r="D28" s="44">
        <f>SUMIFS([1]Hoja1!$F:$F,[1]Hoja1!$B:$B,A28)</f>
        <v>19.7</v>
      </c>
      <c r="E28" s="33">
        <f t="shared" si="1"/>
        <v>191.07338413349967</v>
      </c>
      <c r="F28" s="34">
        <f t="shared" si="0"/>
        <v>296.79976089091315</v>
      </c>
      <c r="G28" s="6" t="s">
        <v>130</v>
      </c>
      <c r="H28" s="7"/>
      <c r="I28" s="46" t="s">
        <v>329</v>
      </c>
      <c r="J28" s="4"/>
      <c r="K28" s="4"/>
      <c r="L28" s="4"/>
      <c r="M28" s="4"/>
    </row>
    <row r="29" spans="1:13" s="32" customFormat="1" ht="12" x14ac:dyDescent="0.2">
      <c r="A29" s="43" t="s">
        <v>131</v>
      </c>
      <c r="B29" s="44">
        <f>(576+570+624)/3</f>
        <v>590</v>
      </c>
      <c r="C29" s="45">
        <v>7222.5074999999906</v>
      </c>
      <c r="D29" s="44">
        <v>7.9</v>
      </c>
      <c r="E29" s="33">
        <f t="shared" si="1"/>
        <v>33.664107457499959</v>
      </c>
      <c r="F29" s="34">
        <f t="shared" si="0"/>
        <v>52.291422425486047</v>
      </c>
      <c r="G29" s="6" t="s">
        <v>90</v>
      </c>
      <c r="H29" s="6"/>
      <c r="I29" s="46" t="s">
        <v>279</v>
      </c>
      <c r="J29" s="4"/>
      <c r="K29" s="4"/>
      <c r="L29" s="4"/>
      <c r="M29" s="4"/>
    </row>
    <row r="30" spans="1:13" s="32" customFormat="1" ht="12" x14ac:dyDescent="0.2">
      <c r="A30" s="43" t="s">
        <v>35</v>
      </c>
      <c r="B30" s="44">
        <f>SUMIFS([1]Hoja1!$G:$G,[1]Hoja1!$B:$B,A30)</f>
        <v>168.33333333333334</v>
      </c>
      <c r="C30" s="31">
        <v>7878.9799999999877</v>
      </c>
      <c r="D30" s="44">
        <f>SUMIFS([1]Hoja1!$F:$F,[1]Hoja1!$B:$B,A30)</f>
        <v>17.366666666666667</v>
      </c>
      <c r="E30" s="33">
        <f t="shared" si="1"/>
        <v>23.033322587777747</v>
      </c>
      <c r="F30" s="34">
        <f t="shared" si="0"/>
        <v>35.778319767442383</v>
      </c>
      <c r="G30" s="6" t="s">
        <v>86</v>
      </c>
      <c r="H30" s="7"/>
      <c r="I30" s="46" t="s">
        <v>329</v>
      </c>
      <c r="J30" s="4"/>
      <c r="K30" s="4"/>
      <c r="L30" s="4"/>
      <c r="M30" s="4"/>
    </row>
    <row r="31" spans="1:13" s="32" customFormat="1" ht="12" x14ac:dyDescent="0.2">
      <c r="A31" s="43" t="s">
        <v>36</v>
      </c>
      <c r="B31" s="44">
        <f>SUMIFS([1]Hoja1!$G:$G,[1]Hoja1!$B:$B,A31)</f>
        <v>182</v>
      </c>
      <c r="C31" s="31">
        <v>6954.569999999987</v>
      </c>
      <c r="D31" s="44">
        <f>SUMIFS([1]Hoja1!$F:$F,[1]Hoja1!$B:$B,A31)</f>
        <v>60.1</v>
      </c>
      <c r="E31" s="33">
        <f t="shared" si="1"/>
        <v>76.070477573999867</v>
      </c>
      <c r="F31" s="34">
        <f t="shared" si="0"/>
        <v>118.16245186219176</v>
      </c>
      <c r="G31" s="6" t="s">
        <v>87</v>
      </c>
      <c r="H31" s="7"/>
      <c r="I31" s="46" t="s">
        <v>329</v>
      </c>
      <c r="J31" s="4"/>
      <c r="K31" s="4"/>
      <c r="L31" s="4"/>
      <c r="M31" s="4"/>
    </row>
    <row r="32" spans="1:13" s="93" customFormat="1" ht="12" x14ac:dyDescent="0.2">
      <c r="A32" s="43" t="s">
        <v>132</v>
      </c>
      <c r="B32" s="44">
        <f>SUMIFS([1]Hoja1!$G:$G,[1]Hoja1!$B:$B,A32)</f>
        <v>215</v>
      </c>
      <c r="C32" s="45">
        <v>4639.9299999999939</v>
      </c>
      <c r="D32" s="44">
        <f>SUMIFS([1]Hoja1!$F:$F,[1]Hoja1!$B:$B,A32)</f>
        <v>14</v>
      </c>
      <c r="E32" s="33">
        <f t="shared" si="1"/>
        <v>13.966189299999982</v>
      </c>
      <c r="F32" s="34">
        <f t="shared" si="0"/>
        <v>21.694081902590217</v>
      </c>
      <c r="G32" s="6" t="s">
        <v>88</v>
      </c>
      <c r="H32" s="91"/>
      <c r="I32" s="46" t="s">
        <v>329</v>
      </c>
      <c r="J32" s="4"/>
      <c r="K32" s="92"/>
      <c r="L32" s="92"/>
      <c r="M32" s="92"/>
    </row>
    <row r="33" spans="1:13" s="32" customFormat="1" ht="12" x14ac:dyDescent="0.2">
      <c r="A33" s="43" t="s">
        <v>133</v>
      </c>
      <c r="B33" s="44">
        <f>(166+185+176)/3</f>
        <v>175.66666666666666</v>
      </c>
      <c r="C33" s="45">
        <v>6021.9099999999899</v>
      </c>
      <c r="D33" s="44">
        <f>(12.6+12.5+12.4)/3</f>
        <v>12.5</v>
      </c>
      <c r="E33" s="33">
        <f t="shared" si="1"/>
        <v>13.22311070833331</v>
      </c>
      <c r="F33" s="34">
        <f t="shared" si="0"/>
        <v>20.539836640593219</v>
      </c>
      <c r="G33" s="6" t="s">
        <v>89</v>
      </c>
      <c r="H33" s="7"/>
      <c r="I33" s="46" t="s">
        <v>279</v>
      </c>
      <c r="J33" s="4"/>
      <c r="K33" s="4"/>
      <c r="L33" s="4"/>
      <c r="M33" s="4"/>
    </row>
    <row r="34" spans="1:13" s="32" customFormat="1" ht="12" x14ac:dyDescent="0.2">
      <c r="A34" s="43" t="s">
        <v>37</v>
      </c>
      <c r="B34" s="44">
        <f>SUMIFS([1]Hoja1!$G:$G,[1]Hoja1!$B:$B,A34)</f>
        <v>461</v>
      </c>
      <c r="C34" s="45">
        <v>4499.2399999999971</v>
      </c>
      <c r="D34" s="44">
        <f>SUMIFS([1]Hoja1!$F:$F,[1]Hoja1!$B:$B,A34)</f>
        <v>7.3666666666666671</v>
      </c>
      <c r="E34" s="33">
        <f t="shared" si="1"/>
        <v>15.279569014666658</v>
      </c>
      <c r="F34" s="34">
        <f t="shared" si="0"/>
        <v>23.734192235276275</v>
      </c>
      <c r="G34" s="7"/>
      <c r="H34" s="7" t="s">
        <v>134</v>
      </c>
      <c r="I34" s="46" t="s">
        <v>329</v>
      </c>
      <c r="J34" s="4"/>
      <c r="K34" s="4"/>
      <c r="L34" s="4"/>
      <c r="M34" s="4"/>
    </row>
    <row r="35" spans="1:13" s="32" customFormat="1" ht="12" x14ac:dyDescent="0.2">
      <c r="A35" s="43" t="s">
        <v>135</v>
      </c>
      <c r="B35" s="44">
        <f>(385+388+402)/3</f>
        <v>391.66666666666669</v>
      </c>
      <c r="C35" s="31">
        <v>3707.2299999999973</v>
      </c>
      <c r="D35" s="44">
        <f>(13.5+13.4+13.4)/3</f>
        <v>13.433333333333332</v>
      </c>
      <c r="E35" s="33">
        <f t="shared" si="1"/>
        <v>19.505178730555539</v>
      </c>
      <c r="F35" s="34">
        <f t="shared" si="0"/>
        <v>30.297952849982718</v>
      </c>
      <c r="G35" s="7"/>
      <c r="H35" s="7" t="s">
        <v>136</v>
      </c>
      <c r="I35" s="46" t="s">
        <v>205</v>
      </c>
      <c r="J35" s="4"/>
      <c r="K35" s="4"/>
      <c r="L35" s="4"/>
      <c r="M35" s="4"/>
    </row>
    <row r="36" spans="1:13" s="32" customFormat="1" ht="12" x14ac:dyDescent="0.2">
      <c r="A36" s="43" t="s">
        <v>38</v>
      </c>
      <c r="B36" s="44">
        <v>732.66</v>
      </c>
      <c r="C36" s="31">
        <v>5194.1699999999964</v>
      </c>
      <c r="D36" s="44">
        <v>53.63</v>
      </c>
      <c r="E36" s="33">
        <f t="shared" si="1"/>
        <v>204.09221455968586</v>
      </c>
      <c r="F36" s="34">
        <f t="shared" si="0"/>
        <v>317.02228311761797</v>
      </c>
      <c r="G36" s="7"/>
      <c r="H36" s="7" t="s">
        <v>137</v>
      </c>
      <c r="I36" s="46" t="s">
        <v>183</v>
      </c>
      <c r="J36" s="4"/>
      <c r="K36" s="4"/>
      <c r="L36" s="4"/>
      <c r="M36" s="4"/>
    </row>
    <row r="37" spans="1:13" s="32" customFormat="1" ht="12" x14ac:dyDescent="0.2">
      <c r="A37" s="43" t="s">
        <v>39</v>
      </c>
      <c r="B37" s="44">
        <f>(689+665+701)/3</f>
        <v>685</v>
      </c>
      <c r="C37" s="31">
        <v>1576.3700000000003</v>
      </c>
      <c r="D37" s="44">
        <f>(43.4+45+41.1)/3</f>
        <v>43.166666666666664</v>
      </c>
      <c r="E37" s="33">
        <f t="shared" si="1"/>
        <v>46.611947258333338</v>
      </c>
      <c r="F37" s="34">
        <f t="shared" si="0"/>
        <v>72.403672880296739</v>
      </c>
      <c r="G37" s="7"/>
      <c r="H37" s="7" t="s">
        <v>138</v>
      </c>
      <c r="I37" s="46" t="s">
        <v>205</v>
      </c>
      <c r="J37" s="4"/>
      <c r="K37" s="4"/>
      <c r="L37" s="4"/>
      <c r="M37" s="4"/>
    </row>
    <row r="38" spans="1:13" s="32" customFormat="1" ht="12" x14ac:dyDescent="0.2">
      <c r="A38" s="43" t="s">
        <v>40</v>
      </c>
      <c r="B38" s="44">
        <v>737.33</v>
      </c>
      <c r="C38" s="45">
        <v>6579.8399999999938</v>
      </c>
      <c r="D38" s="44">
        <v>32.93</v>
      </c>
      <c r="E38" s="33">
        <f t="shared" ref="E38:E67" si="2">(C38*B38*D38)/(1000*1000)</f>
        <v>159.76033715769586</v>
      </c>
      <c r="F38" s="34">
        <f t="shared" ref="F38:F67" si="3">(C38*$B$13*B38*D38)/(12*$B$14*1000*1000)</f>
        <v>248.1603080580102</v>
      </c>
      <c r="G38" s="7"/>
      <c r="H38" s="7" t="s">
        <v>117</v>
      </c>
      <c r="I38" s="46" t="s">
        <v>209</v>
      </c>
      <c r="J38" s="4"/>
      <c r="K38" s="4"/>
      <c r="L38" s="4"/>
      <c r="M38" s="4"/>
    </row>
    <row r="39" spans="1:13" s="32" customFormat="1" ht="12" x14ac:dyDescent="0.2">
      <c r="A39" s="43" t="s">
        <v>41</v>
      </c>
      <c r="B39" s="44">
        <v>921</v>
      </c>
      <c r="C39" s="45">
        <v>2442.4099999999994</v>
      </c>
      <c r="D39" s="44">
        <v>61.6</v>
      </c>
      <c r="E39" s="33">
        <f t="shared" si="2"/>
        <v>138.56671197599999</v>
      </c>
      <c r="F39" s="34">
        <f t="shared" si="3"/>
        <v>215.23964296975237</v>
      </c>
      <c r="G39" s="7"/>
      <c r="H39" s="7" t="s">
        <v>139</v>
      </c>
      <c r="I39" s="46" t="s">
        <v>184</v>
      </c>
      <c r="J39" s="4"/>
      <c r="K39" s="4"/>
      <c r="L39" s="4"/>
      <c r="M39" s="4"/>
    </row>
    <row r="40" spans="1:13" s="32" customFormat="1" ht="12" x14ac:dyDescent="0.2">
      <c r="A40" s="43" t="s">
        <v>42</v>
      </c>
      <c r="B40" s="44">
        <v>737.33</v>
      </c>
      <c r="C40" s="45">
        <v>1661.9100000000003</v>
      </c>
      <c r="D40" s="44">
        <v>32.93</v>
      </c>
      <c r="E40" s="33">
        <f t="shared" si="2"/>
        <v>40.351634982879006</v>
      </c>
      <c r="F40" s="34">
        <f t="shared" si="3"/>
        <v>62.679350495557365</v>
      </c>
      <c r="G40" s="7"/>
      <c r="H40" s="7" t="s">
        <v>140</v>
      </c>
      <c r="I40" s="46" t="s">
        <v>183</v>
      </c>
      <c r="J40" s="4"/>
      <c r="K40" s="4"/>
      <c r="L40" s="4"/>
      <c r="M40" s="4"/>
    </row>
    <row r="41" spans="1:13" s="32" customFormat="1" ht="12" x14ac:dyDescent="0.2">
      <c r="A41" s="43" t="s">
        <v>43</v>
      </c>
      <c r="B41" s="44">
        <v>2755</v>
      </c>
      <c r="C41" s="31">
        <v>5488.4349999999959</v>
      </c>
      <c r="D41" s="44">
        <v>39.4</v>
      </c>
      <c r="E41" s="33">
        <f t="shared" si="2"/>
        <v>595.75315394499944</v>
      </c>
      <c r="F41" s="34">
        <f t="shared" si="3"/>
        <v>925.40043943191256</v>
      </c>
      <c r="G41" s="6"/>
      <c r="H41" s="7" t="s">
        <v>118</v>
      </c>
      <c r="I41" s="46" t="s">
        <v>183</v>
      </c>
      <c r="J41" s="4"/>
      <c r="K41" s="4"/>
      <c r="L41" s="4"/>
      <c r="M41" s="4"/>
    </row>
    <row r="42" spans="1:13" s="32" customFormat="1" ht="12" x14ac:dyDescent="0.2">
      <c r="A42" s="99" t="s">
        <v>141</v>
      </c>
      <c r="B42" s="100">
        <v>7309.66</v>
      </c>
      <c r="C42" s="105">
        <v>0</v>
      </c>
      <c r="D42" s="100">
        <v>11.46</v>
      </c>
      <c r="E42" s="100">
        <f t="shared" si="2"/>
        <v>0</v>
      </c>
      <c r="F42" s="102">
        <f t="shared" si="3"/>
        <v>0</v>
      </c>
      <c r="G42" s="103"/>
      <c r="H42" s="106" t="s">
        <v>142</v>
      </c>
      <c r="I42" s="104" t="s">
        <v>285</v>
      </c>
      <c r="J42" s="4"/>
      <c r="K42" s="4"/>
      <c r="L42" s="4"/>
      <c r="M42" s="4"/>
    </row>
    <row r="43" spans="1:13" s="32" customFormat="1" ht="15" customHeight="1" x14ac:dyDescent="0.2">
      <c r="A43" s="43" t="s">
        <v>143</v>
      </c>
      <c r="B43" s="44">
        <v>15372.66</v>
      </c>
      <c r="C43" s="31">
        <v>7716.114999999988</v>
      </c>
      <c r="D43" s="44">
        <v>11.93</v>
      </c>
      <c r="E43" s="33">
        <f t="shared" si="2"/>
        <v>1415.1033441216848</v>
      </c>
      <c r="F43" s="34">
        <f t="shared" si="3"/>
        <v>2198.1205602021428</v>
      </c>
      <c r="G43" s="6"/>
      <c r="H43" s="7" t="s">
        <v>144</v>
      </c>
      <c r="I43" s="46" t="s">
        <v>211</v>
      </c>
      <c r="J43" s="4"/>
      <c r="K43" s="4"/>
      <c r="L43" s="4"/>
      <c r="M43" s="4"/>
    </row>
    <row r="44" spans="1:13" s="32" customFormat="1" ht="12" x14ac:dyDescent="0.2">
      <c r="A44" s="43" t="s">
        <v>145</v>
      </c>
      <c r="B44" s="44">
        <f>SUMIFS([1]Hoja1!$G:$G,[1]Hoja1!$B:$B,A44)</f>
        <v>2992.6666666666665</v>
      </c>
      <c r="C44" s="31">
        <v>7222.5074999999906</v>
      </c>
      <c r="D44" s="44">
        <f>SUMIFS([1]Hoja1!$F:$F,[1]Hoja1!$B:$B,A44)</f>
        <v>7.166666666666667</v>
      </c>
      <c r="E44" s="33">
        <f t="shared" si="2"/>
        <v>154.90432835583314</v>
      </c>
      <c r="F44" s="34">
        <f t="shared" si="3"/>
        <v>240.61733048521521</v>
      </c>
      <c r="G44" s="6"/>
      <c r="H44" s="7" t="s">
        <v>146</v>
      </c>
      <c r="I44" s="46" t="s">
        <v>329</v>
      </c>
      <c r="J44" s="4"/>
      <c r="K44" s="4"/>
      <c r="L44" s="4"/>
      <c r="M44" s="4"/>
    </row>
    <row r="45" spans="1:13" s="32" customFormat="1" ht="12" x14ac:dyDescent="0.2">
      <c r="A45" s="43" t="s">
        <v>147</v>
      </c>
      <c r="B45" s="44">
        <f>(7110+7134+7229)/3</f>
        <v>7157.666666666667</v>
      </c>
      <c r="C45" s="31">
        <v>7416.7749999999869</v>
      </c>
      <c r="D45" s="44">
        <f>(7.2+7.2+7.1)/3</f>
        <v>7.166666666666667</v>
      </c>
      <c r="E45" s="33">
        <f t="shared" si="2"/>
        <v>380.45542287361042</v>
      </c>
      <c r="F45" s="34">
        <f t="shared" si="3"/>
        <v>590.97230653351608</v>
      </c>
      <c r="G45" s="6"/>
      <c r="H45" s="7" t="s">
        <v>148</v>
      </c>
      <c r="I45" s="46" t="s">
        <v>279</v>
      </c>
      <c r="J45" s="4"/>
      <c r="K45" s="4"/>
      <c r="L45" s="4"/>
      <c r="M45" s="4"/>
    </row>
    <row r="46" spans="1:13" s="32" customFormat="1" ht="12" x14ac:dyDescent="0.2">
      <c r="A46" s="43" t="s">
        <v>44</v>
      </c>
      <c r="B46" s="44">
        <f>(4133+4180+4221)/3</f>
        <v>4178</v>
      </c>
      <c r="C46" s="31">
        <v>5330.9199999999919</v>
      </c>
      <c r="D46" s="44">
        <f>(7.3+7.2+7.2)/3</f>
        <v>7.2333333333333334</v>
      </c>
      <c r="E46" s="33">
        <f t="shared" si="2"/>
        <v>161.10502253066642</v>
      </c>
      <c r="F46" s="34">
        <f t="shared" si="3"/>
        <v>250.24904636649339</v>
      </c>
      <c r="G46" s="6"/>
      <c r="H46" s="7" t="s">
        <v>149</v>
      </c>
      <c r="I46" s="46" t="s">
        <v>279</v>
      </c>
      <c r="J46" s="4"/>
      <c r="K46" s="4"/>
      <c r="L46" s="4"/>
      <c r="M46" s="4"/>
    </row>
    <row r="47" spans="1:13" s="32" customFormat="1" ht="12" x14ac:dyDescent="0.2">
      <c r="A47" s="43" t="s">
        <v>45</v>
      </c>
      <c r="B47" s="44">
        <f>SUMIFS([1]Hoja1!$G:$G,[1]Hoja1!$B:$B,A47)</f>
        <v>78</v>
      </c>
      <c r="C47" s="31">
        <v>3156.4699999999984</v>
      </c>
      <c r="D47" s="44">
        <f>SUMIFS([1]Hoja1!$F:$F,[1]Hoja1!$B:$B,A47)</f>
        <v>9.5</v>
      </c>
      <c r="E47" s="33">
        <f t="shared" si="2"/>
        <v>2.3389442699999989</v>
      </c>
      <c r="F47" s="34">
        <f t="shared" si="3"/>
        <v>3.6331491338853708</v>
      </c>
      <c r="G47" s="6" t="s">
        <v>102</v>
      </c>
      <c r="H47" s="6"/>
      <c r="I47" s="46" t="s">
        <v>329</v>
      </c>
      <c r="J47" s="4"/>
      <c r="K47" s="4"/>
      <c r="L47" s="4"/>
      <c r="M47" s="4"/>
    </row>
    <row r="48" spans="1:13" s="32" customFormat="1" ht="12" x14ac:dyDescent="0.2">
      <c r="A48" s="43" t="s">
        <v>46</v>
      </c>
      <c r="B48" s="44">
        <v>87</v>
      </c>
      <c r="C48" s="45">
        <v>3890.4799999999987</v>
      </c>
      <c r="D48" s="44">
        <v>7</v>
      </c>
      <c r="E48" s="33">
        <f t="shared" si="2"/>
        <v>2.3693023199999992</v>
      </c>
      <c r="F48" s="34">
        <f t="shared" si="3"/>
        <v>3.6803051625597725</v>
      </c>
      <c r="G48" s="6" t="s">
        <v>103</v>
      </c>
      <c r="H48" s="6"/>
      <c r="I48" s="46" t="s">
        <v>211</v>
      </c>
      <c r="J48" s="4"/>
      <c r="K48" s="4"/>
      <c r="L48" s="4"/>
      <c r="M48" s="4"/>
    </row>
    <row r="49" spans="1:13" s="32" customFormat="1" ht="12" x14ac:dyDescent="0.2">
      <c r="A49" s="43" t="s">
        <v>47</v>
      </c>
      <c r="B49" s="44">
        <v>80</v>
      </c>
      <c r="C49" s="31">
        <v>3564.2400000000002</v>
      </c>
      <c r="D49" s="44">
        <v>38.4</v>
      </c>
      <c r="E49" s="33">
        <f t="shared" si="2"/>
        <v>10.949345279999999</v>
      </c>
      <c r="F49" s="34">
        <f t="shared" si="3"/>
        <v>17.007931668523202</v>
      </c>
      <c r="G49" s="6" t="s">
        <v>104</v>
      </c>
      <c r="H49" s="6"/>
      <c r="I49" s="46" t="s">
        <v>211</v>
      </c>
      <c r="J49" s="4"/>
      <c r="K49" s="4"/>
      <c r="L49" s="4"/>
      <c r="M49" s="4"/>
    </row>
    <row r="50" spans="1:13" s="32" customFormat="1" ht="12" x14ac:dyDescent="0.2">
      <c r="A50" s="43" t="s">
        <v>48</v>
      </c>
      <c r="B50" s="44">
        <f>SUMIFS([1]Hoja1!$G:$G,[1]Hoja1!$B:$B,A50)</f>
        <v>81.333333333333329</v>
      </c>
      <c r="C50" s="31">
        <v>6449.5399999999945</v>
      </c>
      <c r="D50" s="44">
        <f>SUMIFS([1]Hoja1!$F:$F,[1]Hoja1!$B:$B,A50)</f>
        <v>5</v>
      </c>
      <c r="E50" s="33">
        <f t="shared" si="2"/>
        <v>2.6228129333333308</v>
      </c>
      <c r="F50" s="34">
        <f t="shared" si="3"/>
        <v>4.0740904600875094</v>
      </c>
      <c r="G50" s="6" t="s">
        <v>150</v>
      </c>
      <c r="H50" s="6"/>
      <c r="I50" s="46" t="s">
        <v>329</v>
      </c>
      <c r="J50" s="4"/>
      <c r="K50" s="4"/>
      <c r="L50" s="4"/>
      <c r="M50" s="4"/>
    </row>
    <row r="51" spans="1:13" s="32" customFormat="1" ht="12" x14ac:dyDescent="0.2">
      <c r="A51" s="43" t="s">
        <v>49</v>
      </c>
      <c r="B51" s="44">
        <f>(5159+5014+5034)/3</f>
        <v>5069</v>
      </c>
      <c r="C51" s="45">
        <v>4265.1824999999981</v>
      </c>
      <c r="D51" s="44">
        <f>(18.9+18.8+18.7)/3</f>
        <v>18.8</v>
      </c>
      <c r="E51" s="33">
        <f t="shared" si="2"/>
        <v>406.45994973899985</v>
      </c>
      <c r="F51" s="34">
        <f t="shared" si="3"/>
        <v>631.36588301581855</v>
      </c>
      <c r="G51" s="6"/>
      <c r="H51" s="7" t="s">
        <v>119</v>
      </c>
      <c r="I51" s="46" t="s">
        <v>205</v>
      </c>
      <c r="J51" s="4"/>
      <c r="K51" s="4"/>
      <c r="L51" s="4"/>
      <c r="M51" s="4"/>
    </row>
    <row r="52" spans="1:13" s="32" customFormat="1" ht="12" x14ac:dyDescent="0.2">
      <c r="A52" s="43" t="s">
        <v>50</v>
      </c>
      <c r="B52" s="44">
        <v>179</v>
      </c>
      <c r="C52" s="45">
        <v>7675.8199999999897</v>
      </c>
      <c r="D52" s="44">
        <v>18.899999999999999</v>
      </c>
      <c r="E52" s="33">
        <f t="shared" si="2"/>
        <v>25.968066641999965</v>
      </c>
      <c r="F52" s="34">
        <f t="shared" si="3"/>
        <v>40.336941772905</v>
      </c>
      <c r="G52" s="6" t="s">
        <v>106</v>
      </c>
      <c r="H52" s="6"/>
      <c r="I52" s="46" t="s">
        <v>279</v>
      </c>
      <c r="J52" s="4"/>
      <c r="K52" s="4"/>
      <c r="L52" s="4"/>
      <c r="M52" s="4"/>
    </row>
    <row r="53" spans="1:13" s="32" customFormat="1" ht="12" x14ac:dyDescent="0.2">
      <c r="A53" s="43" t="s">
        <v>51</v>
      </c>
      <c r="B53" s="44">
        <f>SUMIFS([1]Hoja1!$G:$G,[1]Hoja1!$B:$B,A53)</f>
        <v>173</v>
      </c>
      <c r="C53" s="45">
        <v>7851.3099999999822</v>
      </c>
      <c r="D53" s="44">
        <f>SUMIFS([1]Hoja1!$F:$F,[1]Hoja1!$B:$B,A53)</f>
        <v>66.8</v>
      </c>
      <c r="E53" s="33">
        <f t="shared" si="2"/>
        <v>90.732878883999774</v>
      </c>
      <c r="F53" s="34">
        <f t="shared" si="3"/>
        <v>140.93797982297812</v>
      </c>
      <c r="G53" s="6" t="s">
        <v>107</v>
      </c>
      <c r="H53" s="6"/>
      <c r="I53" s="46" t="s">
        <v>329</v>
      </c>
      <c r="J53" s="4"/>
      <c r="K53" s="4"/>
      <c r="L53" s="4"/>
      <c r="M53" s="4"/>
    </row>
    <row r="54" spans="1:13" s="32" customFormat="1" ht="12" x14ac:dyDescent="0.2">
      <c r="A54" s="43" t="s">
        <v>52</v>
      </c>
      <c r="B54" s="44">
        <f>SUMIFS([1]Hoja1!$G:$G,[1]Hoja1!$B:$B,A54)</f>
        <v>173.66666666666666</v>
      </c>
      <c r="C54" s="45">
        <v>5434.5499999999902</v>
      </c>
      <c r="D54" s="44">
        <f>SUMIFS([1]Hoja1!$F:$F,[1]Hoja1!$B:$B,A54)</f>
        <v>17</v>
      </c>
      <c r="E54" s="33">
        <f t="shared" si="2"/>
        <v>16.044603116666636</v>
      </c>
      <c r="F54" s="34">
        <f t="shared" si="3"/>
        <v>24.922541620391804</v>
      </c>
      <c r="G54" s="6" t="s">
        <v>108</v>
      </c>
      <c r="H54" s="6"/>
      <c r="I54" s="46" t="s">
        <v>329</v>
      </c>
      <c r="J54" s="4"/>
      <c r="K54" s="4"/>
      <c r="L54" s="4"/>
      <c r="M54" s="4"/>
    </row>
    <row r="55" spans="1:13" s="32" customFormat="1" ht="12" x14ac:dyDescent="0.2">
      <c r="A55" s="43" t="s">
        <v>53</v>
      </c>
      <c r="B55" s="44">
        <v>179</v>
      </c>
      <c r="C55" s="45">
        <v>6987.2266666666546</v>
      </c>
      <c r="D55" s="44">
        <v>18.899999999999999</v>
      </c>
      <c r="E55" s="33">
        <f t="shared" si="2"/>
        <v>23.638486535999956</v>
      </c>
      <c r="F55" s="34">
        <f t="shared" si="3"/>
        <v>36.718338263198241</v>
      </c>
      <c r="G55" s="6"/>
      <c r="H55" s="7" t="s">
        <v>120</v>
      </c>
      <c r="I55" s="46" t="s">
        <v>209</v>
      </c>
      <c r="J55" s="4"/>
      <c r="K55" s="4"/>
      <c r="L55" s="4"/>
      <c r="M55" s="4"/>
    </row>
    <row r="56" spans="1:13" s="32" customFormat="1" ht="12" x14ac:dyDescent="0.2">
      <c r="A56" s="43" t="s">
        <v>54</v>
      </c>
      <c r="B56" s="44">
        <f>B53</f>
        <v>173</v>
      </c>
      <c r="C56" s="45">
        <v>6987.2266666666546</v>
      </c>
      <c r="D56" s="44">
        <f>D53</f>
        <v>66.8</v>
      </c>
      <c r="E56" s="33">
        <f t="shared" si="2"/>
        <v>80.74718625066653</v>
      </c>
      <c r="F56" s="34">
        <f t="shared" si="3"/>
        <v>125.42691741444952</v>
      </c>
      <c r="G56" s="6"/>
      <c r="H56" s="7" t="s">
        <v>121</v>
      </c>
      <c r="I56" s="46" t="s">
        <v>209</v>
      </c>
      <c r="J56" s="4"/>
      <c r="K56" s="4"/>
      <c r="L56" s="4"/>
      <c r="M56" s="4"/>
    </row>
    <row r="57" spans="1:13" s="32" customFormat="1" ht="12" x14ac:dyDescent="0.2">
      <c r="A57" s="43" t="s">
        <v>55</v>
      </c>
      <c r="B57" s="47">
        <v>125</v>
      </c>
      <c r="C57" s="31">
        <v>5868.589999999992</v>
      </c>
      <c r="D57" s="47">
        <v>2.5</v>
      </c>
      <c r="E57" s="33">
        <f t="shared" si="2"/>
        <v>1.8339343749999975</v>
      </c>
      <c r="F57" s="34">
        <f t="shared" si="3"/>
        <v>2.8487027979225221</v>
      </c>
      <c r="G57" s="6" t="s">
        <v>151</v>
      </c>
      <c r="H57" s="35"/>
      <c r="I57" s="46" t="s">
        <v>279</v>
      </c>
      <c r="J57" s="4"/>
      <c r="K57" s="4"/>
      <c r="L57" s="4"/>
      <c r="M57" s="4"/>
    </row>
    <row r="58" spans="1:13" s="32" customFormat="1" ht="12" x14ac:dyDescent="0.2">
      <c r="A58" s="43" t="s">
        <v>56</v>
      </c>
      <c r="B58" s="44">
        <f>SUMIFS([1]Hoja1!$G:$G,[1]Hoja1!$B:$B,A58)</f>
        <v>128</v>
      </c>
      <c r="C58" s="31">
        <v>7343.7299999999896</v>
      </c>
      <c r="D58" s="44">
        <f>SUMIFS([1]Hoja1!$F:$F,[1]Hoja1!$B:$B,A58)</f>
        <v>5</v>
      </c>
      <c r="E58" s="33">
        <f t="shared" si="2"/>
        <v>4.6999871999999936</v>
      </c>
      <c r="F58" s="34">
        <f t="shared" si="3"/>
        <v>7.3006247493670768</v>
      </c>
      <c r="G58" s="6" t="s">
        <v>152</v>
      </c>
      <c r="H58" s="35"/>
      <c r="I58" s="46" t="s">
        <v>329</v>
      </c>
      <c r="J58" s="4"/>
      <c r="K58" s="4"/>
      <c r="L58" s="4"/>
      <c r="M58" s="4"/>
    </row>
    <row r="59" spans="1:13" s="32" customFormat="1" ht="12" x14ac:dyDescent="0.2">
      <c r="A59" s="43" t="s">
        <v>57</v>
      </c>
      <c r="B59" s="44">
        <f>SUMIFS([1]Hoja1!$G:$G,[1]Hoja1!$B:$B,A59)</f>
        <v>133</v>
      </c>
      <c r="C59" s="31">
        <v>7827.5499999999838</v>
      </c>
      <c r="D59" s="44">
        <f>SUMIFS([1]Hoja1!$F:$F,[1]Hoja1!$B:$B,A59)</f>
        <v>18.266666666666666</v>
      </c>
      <c r="E59" s="33">
        <f t="shared" si="2"/>
        <v>19.016771806666629</v>
      </c>
      <c r="F59" s="34">
        <f t="shared" si="3"/>
        <v>29.539296384640501</v>
      </c>
      <c r="G59" s="6" t="s">
        <v>153</v>
      </c>
      <c r="H59" s="35"/>
      <c r="I59" s="46" t="s">
        <v>329</v>
      </c>
      <c r="J59" s="4"/>
      <c r="K59" s="4"/>
      <c r="L59" s="4"/>
      <c r="M59" s="4"/>
    </row>
    <row r="60" spans="1:13" s="32" customFormat="1" ht="12" x14ac:dyDescent="0.2">
      <c r="A60" s="43" t="s">
        <v>58</v>
      </c>
      <c r="B60" s="44">
        <f>SUMIFS([1]Hoja1!$G:$G,[1]Hoja1!$B:$B,A60)</f>
        <v>127</v>
      </c>
      <c r="C60" s="31">
        <v>7736.2999999999856</v>
      </c>
      <c r="D60" s="44">
        <f>SUMIFS([1]Hoja1!$F:$F,[1]Hoja1!$B:$B,A60)</f>
        <v>11.533333333333333</v>
      </c>
      <c r="E60" s="33">
        <f t="shared" si="2"/>
        <v>11.331616486666645</v>
      </c>
      <c r="F60" s="34">
        <f t="shared" si="3"/>
        <v>17.601724484035753</v>
      </c>
      <c r="G60" s="6" t="s">
        <v>154</v>
      </c>
      <c r="H60" s="35"/>
      <c r="I60" s="46" t="s">
        <v>329</v>
      </c>
      <c r="J60" s="4"/>
      <c r="K60" s="4"/>
      <c r="L60" s="4"/>
      <c r="M60" s="4"/>
    </row>
    <row r="61" spans="1:13" s="32" customFormat="1" ht="12" x14ac:dyDescent="0.2">
      <c r="A61" s="43" t="s">
        <v>59</v>
      </c>
      <c r="B61" s="47">
        <v>126.66</v>
      </c>
      <c r="C61" s="31">
        <v>5101.8499999999922</v>
      </c>
      <c r="D61" s="47">
        <v>42</v>
      </c>
      <c r="E61" s="33">
        <f t="shared" si="2"/>
        <v>27.140413481999957</v>
      </c>
      <c r="F61" s="34">
        <f t="shared" si="3"/>
        <v>42.157981701470398</v>
      </c>
      <c r="G61" s="6" t="s">
        <v>155</v>
      </c>
      <c r="H61" s="35"/>
      <c r="I61" s="46" t="s">
        <v>211</v>
      </c>
      <c r="J61" s="4"/>
      <c r="K61" s="4"/>
      <c r="L61" s="4"/>
      <c r="M61" s="4"/>
    </row>
    <row r="62" spans="1:13" s="32" customFormat="1" ht="12" x14ac:dyDescent="0.2">
      <c r="A62" s="43" t="s">
        <v>60</v>
      </c>
      <c r="B62" s="47">
        <f>(117+118+116)/3</f>
        <v>117</v>
      </c>
      <c r="C62" s="45">
        <v>2312.2899999999991</v>
      </c>
      <c r="D62" s="47">
        <f>(2+1.9+2)/3</f>
        <v>1.9666666666666668</v>
      </c>
      <c r="E62" s="33">
        <f t="shared" si="2"/>
        <v>0.53205792899999982</v>
      </c>
      <c r="F62" s="34">
        <f t="shared" si="3"/>
        <v>0.82646082196870552</v>
      </c>
      <c r="G62" s="6" t="s">
        <v>156</v>
      </c>
      <c r="H62" s="35"/>
      <c r="I62" s="46" t="s">
        <v>279</v>
      </c>
      <c r="J62" s="4"/>
      <c r="K62" s="4"/>
      <c r="L62" s="4"/>
      <c r="M62" s="4"/>
    </row>
    <row r="63" spans="1:13" s="32" customFormat="1" ht="12" x14ac:dyDescent="0.2">
      <c r="A63" s="43" t="s">
        <v>61</v>
      </c>
      <c r="B63" s="47">
        <v>119</v>
      </c>
      <c r="C63" s="45">
        <v>2389</v>
      </c>
      <c r="D63" s="47">
        <v>2.1</v>
      </c>
      <c r="E63" s="33">
        <f t="shared" si="2"/>
        <v>0.59701110000000002</v>
      </c>
      <c r="F63" s="34">
        <f t="shared" si="3"/>
        <v>0.92735444307313619</v>
      </c>
      <c r="G63" s="6" t="s">
        <v>157</v>
      </c>
      <c r="H63" s="35"/>
      <c r="I63" s="46" t="s">
        <v>279</v>
      </c>
      <c r="J63" s="4"/>
      <c r="K63" s="4"/>
      <c r="L63" s="4"/>
      <c r="M63" s="4"/>
    </row>
    <row r="64" spans="1:13" s="32" customFormat="1" ht="12" x14ac:dyDescent="0.2">
      <c r="A64" s="43" t="s">
        <v>62</v>
      </c>
      <c r="B64" s="44">
        <f>SUMIFS([1]Hoja1!$G:$G,[1]Hoja1!$B:$B,A64)</f>
        <v>117.33333333333333</v>
      </c>
      <c r="C64" s="31">
        <v>2896.5799999999981</v>
      </c>
      <c r="D64" s="44">
        <f>SUMIFS([1]Hoja1!$F:$F,[1]Hoja1!$B:$B,A64)</f>
        <v>7</v>
      </c>
      <c r="E64" s="33">
        <f t="shared" si="2"/>
        <v>2.3790577066666652</v>
      </c>
      <c r="F64" s="34">
        <f t="shared" si="3"/>
        <v>3.6954584841131397</v>
      </c>
      <c r="G64" s="6" t="s">
        <v>158</v>
      </c>
      <c r="H64" s="35"/>
      <c r="I64" s="46" t="s">
        <v>329</v>
      </c>
      <c r="J64" s="4"/>
      <c r="K64" s="4"/>
      <c r="L64" s="4"/>
      <c r="M64" s="4"/>
    </row>
    <row r="65" spans="1:13" s="32" customFormat="1" ht="12" x14ac:dyDescent="0.2">
      <c r="A65" s="43" t="s">
        <v>63</v>
      </c>
      <c r="B65" s="47">
        <v>4956.66</v>
      </c>
      <c r="C65" s="48">
        <v>7194.0424999999877</v>
      </c>
      <c r="D65" s="47">
        <v>16.23</v>
      </c>
      <c r="E65" s="33">
        <f t="shared" si="2"/>
        <v>578.73620038935053</v>
      </c>
      <c r="F65" s="34">
        <f t="shared" si="3"/>
        <v>898.96751802157291</v>
      </c>
      <c r="G65" s="6"/>
      <c r="H65" s="6" t="s">
        <v>159</v>
      </c>
      <c r="I65" s="46" t="s">
        <v>183</v>
      </c>
      <c r="J65" s="4"/>
      <c r="K65" s="4"/>
      <c r="L65" s="4"/>
      <c r="M65" s="4"/>
    </row>
    <row r="66" spans="1:13" s="32" customFormat="1" ht="12" x14ac:dyDescent="0.2">
      <c r="A66" s="43" t="s">
        <v>64</v>
      </c>
      <c r="B66" s="47">
        <v>4988.66</v>
      </c>
      <c r="C66" s="48">
        <v>3174.9299999999976</v>
      </c>
      <c r="D66" s="47">
        <v>75.7</v>
      </c>
      <c r="E66" s="33">
        <f>(C66*B66*D66)/(1000*1000)</f>
        <v>1198.985524440659</v>
      </c>
      <c r="F66" s="34">
        <f t="shared" si="3"/>
        <v>1862.4185601748775</v>
      </c>
      <c r="G66" s="6"/>
      <c r="H66" s="6" t="s">
        <v>160</v>
      </c>
      <c r="I66" s="46" t="s">
        <v>183</v>
      </c>
      <c r="J66" s="4"/>
      <c r="K66" s="4"/>
      <c r="L66" s="4"/>
      <c r="M66" s="4"/>
    </row>
    <row r="67" spans="1:13" s="32" customFormat="1" ht="12" x14ac:dyDescent="0.2">
      <c r="A67" s="43" t="s">
        <v>196</v>
      </c>
      <c r="B67" s="44">
        <f>SUMIFS([1]Hoja1!$G:$G,[1]Hoja1!$B:$B,A67)</f>
        <v>338.33333333333331</v>
      </c>
      <c r="C67" s="45">
        <v>7025.7699999999832</v>
      </c>
      <c r="D67" s="44">
        <f>SUMIFS([1]Hoja1!$F:$F,[1]Hoja1!$B:$B,A67)</f>
        <v>5.5333333333333341</v>
      </c>
      <c r="E67" s="33">
        <f t="shared" si="2"/>
        <v>13.153022081111081</v>
      </c>
      <c r="F67" s="34">
        <f t="shared" si="3"/>
        <v>20.430965968233139</v>
      </c>
      <c r="G67" s="6" t="s">
        <v>186</v>
      </c>
      <c r="H67" s="6"/>
      <c r="I67" s="46" t="s">
        <v>329</v>
      </c>
      <c r="J67" s="4"/>
      <c r="K67" s="4"/>
      <c r="L67" s="4"/>
      <c r="M67" s="4"/>
    </row>
    <row r="68" spans="1:13" s="32" customFormat="1" ht="12" x14ac:dyDescent="0.2">
      <c r="A68" s="43" t="s">
        <v>197</v>
      </c>
      <c r="B68" s="44">
        <f>SUMIFS([1]Hoja1!$G:$G,[1]Hoja1!$B:$B,A68)</f>
        <v>342</v>
      </c>
      <c r="C68" s="48">
        <v>7851.1899999999823</v>
      </c>
      <c r="D68" s="44">
        <f>SUMIFS([1]Hoja1!$F:$F,[1]Hoja1!$B:$B,A68)</f>
        <v>6.3666666666666671</v>
      </c>
      <c r="E68" s="33">
        <f t="shared" ref="E68:E72" si="4">(C68*B68*D68)/(1000*1000)</f>
        <v>17.095181105999963</v>
      </c>
      <c r="F68" s="34">
        <f t="shared" ref="F68:F73" si="5">(C68*$B$13*B68*D68)/(12*$B$14*1000*1000)</f>
        <v>26.554434505135664</v>
      </c>
      <c r="G68" s="6" t="s">
        <v>187</v>
      </c>
      <c r="H68" s="6"/>
      <c r="I68" s="46" t="s">
        <v>329</v>
      </c>
      <c r="J68" s="4"/>
      <c r="K68" s="4"/>
      <c r="L68" s="4"/>
      <c r="M68" s="4"/>
    </row>
    <row r="69" spans="1:13" s="32" customFormat="1" ht="12" x14ac:dyDescent="0.2">
      <c r="A69" s="43" t="s">
        <v>198</v>
      </c>
      <c r="B69" s="47">
        <f>(4483+4373+4465)/3</f>
        <v>4440.333333333333</v>
      </c>
      <c r="C69" s="45">
        <v>7438.4799999999832</v>
      </c>
      <c r="D69" s="47">
        <f>(9.1+9+9.1)/3</f>
        <v>9.0666666666666682</v>
      </c>
      <c r="E69" s="33">
        <f t="shared" si="4"/>
        <v>299.46593161955496</v>
      </c>
      <c r="F69" s="34">
        <f t="shared" si="5"/>
        <v>465.16900981645108</v>
      </c>
      <c r="G69" s="6"/>
      <c r="H69" s="6" t="s">
        <v>188</v>
      </c>
      <c r="I69" s="46" t="s">
        <v>205</v>
      </c>
      <c r="J69" s="4"/>
      <c r="K69" s="4"/>
      <c r="L69" s="4"/>
      <c r="M69" s="4"/>
    </row>
    <row r="70" spans="1:13" s="32" customFormat="1" ht="12" x14ac:dyDescent="0.2">
      <c r="A70" s="43" t="s">
        <v>199</v>
      </c>
      <c r="B70" s="44">
        <f>SUMIFS([1]Hoja1!$G:$G,[1]Hoja1!$B:$B,A70)</f>
        <v>343</v>
      </c>
      <c r="C70" s="48">
        <v>7880.7199999999802</v>
      </c>
      <c r="D70" s="44">
        <f>SUMIFS([1]Hoja1!$F:$F,[1]Hoja1!$B:$B,A70)</f>
        <v>5</v>
      </c>
      <c r="E70" s="33">
        <f t="shared" si="4"/>
        <v>13.515434799999968</v>
      </c>
      <c r="F70" s="34">
        <f t="shared" si="5"/>
        <v>20.993912025832103</v>
      </c>
      <c r="G70" s="6" t="s">
        <v>189</v>
      </c>
      <c r="H70" s="6"/>
      <c r="I70" s="46" t="s">
        <v>329</v>
      </c>
      <c r="J70" s="4"/>
      <c r="K70" s="4"/>
      <c r="L70" s="4"/>
      <c r="M70" s="4"/>
    </row>
    <row r="71" spans="1:13" s="32" customFormat="1" ht="12" x14ac:dyDescent="0.2">
      <c r="A71" s="43" t="s">
        <v>200</v>
      </c>
      <c r="B71" s="44">
        <f>SUMIFS([1]Hoja1!$G:$G,[1]Hoja1!$B:$B,A71)</f>
        <v>351</v>
      </c>
      <c r="C71" s="48">
        <v>7597.2699999999822</v>
      </c>
      <c r="D71" s="44">
        <f>SUMIFS([1]Hoja1!$F:$F,[1]Hoja1!$B:$B,A71)</f>
        <v>5.3666666666666671</v>
      </c>
      <c r="E71" s="33">
        <f t="shared" si="4"/>
        <v>14.310977498999968</v>
      </c>
      <c r="F71" s="34">
        <f t="shared" si="5"/>
        <v>22.229651288589608</v>
      </c>
      <c r="G71" s="6" t="s">
        <v>190</v>
      </c>
      <c r="H71" s="6"/>
      <c r="I71" s="46" t="s">
        <v>329</v>
      </c>
      <c r="J71" s="4"/>
      <c r="K71" s="4"/>
      <c r="L71" s="4"/>
      <c r="M71" s="4"/>
    </row>
    <row r="72" spans="1:13" s="32" customFormat="1" ht="12" x14ac:dyDescent="0.2">
      <c r="A72" s="43" t="s">
        <v>201</v>
      </c>
      <c r="B72" s="47">
        <f>(336+344+336)/3</f>
        <v>338.66666666666669</v>
      </c>
      <c r="C72" s="48">
        <v>1734.5500000000002</v>
      </c>
      <c r="D72" s="47">
        <f>(6.2+6.2+6.3)/3</f>
        <v>6.2333333333333334</v>
      </c>
      <c r="E72" s="33">
        <f t="shared" si="4"/>
        <v>3.6616735955555559</v>
      </c>
      <c r="F72" s="34">
        <f t="shared" si="5"/>
        <v>5.6877824849856751</v>
      </c>
      <c r="G72" s="6" t="s">
        <v>191</v>
      </c>
      <c r="H72" s="6"/>
      <c r="I72" s="46" t="s">
        <v>280</v>
      </c>
      <c r="J72" s="4"/>
      <c r="K72" s="4"/>
      <c r="L72" s="4"/>
      <c r="M72" s="4"/>
    </row>
    <row r="73" spans="1:13" s="32" customFormat="1" ht="12" x14ac:dyDescent="0.2">
      <c r="A73" s="43" t="s">
        <v>202</v>
      </c>
      <c r="B73" s="44">
        <f>SUMIFS([1]Hoja1!$G:$G,[1]Hoja1!$B:$B,A73)</f>
        <v>206.33333333333334</v>
      </c>
      <c r="C73" s="48">
        <v>846.1400000000001</v>
      </c>
      <c r="D73" s="44">
        <f>SUMIFS([1]Hoja1!$F:$F,[1]Hoja1!$B:$B,A73)</f>
        <v>15.566666666666668</v>
      </c>
      <c r="E73" s="33">
        <f>(C73*B73*D73)/(1000*1000)</f>
        <v>2.7177358691111118</v>
      </c>
      <c r="F73" s="34">
        <f t="shared" si="5"/>
        <v>4.2215369753081999</v>
      </c>
      <c r="G73" s="6" t="s">
        <v>192</v>
      </c>
      <c r="H73" s="6"/>
      <c r="I73" s="46" t="s">
        <v>329</v>
      </c>
      <c r="J73" s="4"/>
      <c r="K73" s="4"/>
      <c r="L73" s="4"/>
      <c r="M73" s="4"/>
    </row>
    <row r="74" spans="1:13" s="32" customFormat="1" ht="12" x14ac:dyDescent="0.2">
      <c r="A74" s="43" t="s">
        <v>203</v>
      </c>
      <c r="B74" s="47">
        <f>(B45+B46+B69)/3</f>
        <v>5258.666666666667</v>
      </c>
      <c r="C74" s="48">
        <v>7738.9949999999808</v>
      </c>
      <c r="D74" s="47">
        <f>(D45+D46+D69)/3</f>
        <v>7.8222222222222229</v>
      </c>
      <c r="E74" s="33">
        <f t="shared" ref="E74:E75" si="6">(C74*B74*D74)/(1000*1000)</f>
        <v>318.33937453511038</v>
      </c>
      <c r="F74" s="34">
        <f t="shared" ref="F74:F84" si="7">(C74*$B$13*B74*D74)/(12*$B$14*1000*1000)</f>
        <v>494.48566932885802</v>
      </c>
      <c r="G74" s="6"/>
      <c r="H74" s="6" t="s">
        <v>193</v>
      </c>
      <c r="I74" s="46" t="s">
        <v>281</v>
      </c>
      <c r="J74" s="4"/>
      <c r="K74" s="4"/>
      <c r="L74" s="4"/>
      <c r="M74" s="4"/>
    </row>
    <row r="75" spans="1:13" s="32" customFormat="1" ht="12" customHeight="1" x14ac:dyDescent="0.2">
      <c r="A75" s="43" t="s">
        <v>204</v>
      </c>
      <c r="B75" s="47">
        <f>(B45+B46+B69)/3</f>
        <v>5258.666666666667</v>
      </c>
      <c r="C75" s="48">
        <v>1290.3450000000003</v>
      </c>
      <c r="D75" s="47">
        <f>(D45+D46+D69)/3</f>
        <v>7.8222222222222229</v>
      </c>
      <c r="E75" s="33">
        <f t="shared" si="6"/>
        <v>53.07764383288891</v>
      </c>
      <c r="F75" s="34">
        <f t="shared" si="7"/>
        <v>82.447024580083976</v>
      </c>
      <c r="G75" s="6"/>
      <c r="H75" s="6" t="s">
        <v>194</v>
      </c>
      <c r="I75" s="46" t="s">
        <v>281</v>
      </c>
      <c r="J75" s="4"/>
      <c r="K75" s="4"/>
      <c r="L75" s="4"/>
      <c r="M75" s="4"/>
    </row>
    <row r="76" spans="1:13" s="32" customFormat="1" ht="12" customHeight="1" x14ac:dyDescent="0.2">
      <c r="A76" s="99" t="s">
        <v>251</v>
      </c>
      <c r="B76" s="101"/>
      <c r="C76" s="113">
        <v>0</v>
      </c>
      <c r="D76" s="101"/>
      <c r="E76" s="100"/>
      <c r="F76" s="102">
        <f t="shared" si="7"/>
        <v>0</v>
      </c>
      <c r="G76" s="103" t="s">
        <v>242</v>
      </c>
      <c r="H76" s="103"/>
      <c r="I76" s="104" t="s">
        <v>295</v>
      </c>
      <c r="J76" s="4"/>
      <c r="K76" s="4"/>
      <c r="L76" s="4"/>
      <c r="M76" s="4"/>
    </row>
    <row r="77" spans="1:13" s="1" customFormat="1" ht="12" customHeight="1" x14ac:dyDescent="0.2">
      <c r="A77" s="99" t="s">
        <v>252</v>
      </c>
      <c r="B77" s="101"/>
      <c r="C77" s="113">
        <v>0</v>
      </c>
      <c r="D77" s="101"/>
      <c r="E77" s="100"/>
      <c r="F77" s="102">
        <f t="shared" si="7"/>
        <v>0</v>
      </c>
      <c r="G77" s="103" t="s">
        <v>243</v>
      </c>
      <c r="H77" s="103"/>
      <c r="I77" s="104" t="s">
        <v>295</v>
      </c>
      <c r="J77" s="4"/>
      <c r="K77" s="49"/>
      <c r="L77" s="49"/>
      <c r="M77" s="49"/>
    </row>
    <row r="78" spans="1:13" s="1" customFormat="1" ht="12" customHeight="1" x14ac:dyDescent="0.2">
      <c r="A78" s="99" t="s">
        <v>253</v>
      </c>
      <c r="B78" s="101"/>
      <c r="C78" s="113">
        <v>0</v>
      </c>
      <c r="D78" s="101"/>
      <c r="E78" s="100"/>
      <c r="F78" s="102">
        <f t="shared" si="7"/>
        <v>0</v>
      </c>
      <c r="G78" s="103" t="s">
        <v>244</v>
      </c>
      <c r="H78" s="103"/>
      <c r="I78" s="104" t="s">
        <v>295</v>
      </c>
      <c r="J78" s="4"/>
      <c r="K78" s="49"/>
      <c r="L78" s="49"/>
      <c r="M78" s="49"/>
    </row>
    <row r="79" spans="1:13" s="1" customFormat="1" ht="12" customHeight="1" x14ac:dyDescent="0.2">
      <c r="A79" s="99" t="s">
        <v>254</v>
      </c>
      <c r="B79" s="101"/>
      <c r="C79" s="113">
        <v>0</v>
      </c>
      <c r="D79" s="101"/>
      <c r="E79" s="100"/>
      <c r="F79" s="102">
        <f t="shared" si="7"/>
        <v>0</v>
      </c>
      <c r="G79" s="103" t="s">
        <v>245</v>
      </c>
      <c r="H79" s="103"/>
      <c r="I79" s="104" t="s">
        <v>295</v>
      </c>
      <c r="J79" s="4"/>
      <c r="K79" s="49"/>
      <c r="L79" s="49"/>
      <c r="M79" s="49"/>
    </row>
    <row r="80" spans="1:13" s="1" customFormat="1" ht="12" customHeight="1" x14ac:dyDescent="0.2">
      <c r="A80" s="99" t="s">
        <v>255</v>
      </c>
      <c r="B80" s="101"/>
      <c r="C80" s="113">
        <v>0</v>
      </c>
      <c r="D80" s="101"/>
      <c r="E80" s="100"/>
      <c r="F80" s="102">
        <f t="shared" si="7"/>
        <v>0</v>
      </c>
      <c r="G80" s="103" t="s">
        <v>246</v>
      </c>
      <c r="H80" s="103"/>
      <c r="I80" s="104" t="s">
        <v>295</v>
      </c>
      <c r="J80" s="4"/>
      <c r="K80" s="49"/>
      <c r="L80" s="49"/>
      <c r="M80" s="49"/>
    </row>
    <row r="81" spans="1:13" s="1" customFormat="1" ht="12" customHeight="1" x14ac:dyDescent="0.2">
      <c r="A81" s="99" t="s">
        <v>256</v>
      </c>
      <c r="B81" s="101"/>
      <c r="C81" s="113">
        <v>0</v>
      </c>
      <c r="D81" s="101"/>
      <c r="E81" s="100"/>
      <c r="F81" s="102">
        <f t="shared" si="7"/>
        <v>0</v>
      </c>
      <c r="G81" s="103" t="s">
        <v>247</v>
      </c>
      <c r="H81" s="103"/>
      <c r="I81" s="104" t="s">
        <v>295</v>
      </c>
      <c r="J81" s="4"/>
      <c r="K81" s="49"/>
      <c r="L81" s="49"/>
      <c r="M81" s="49"/>
    </row>
    <row r="82" spans="1:13" s="1" customFormat="1" ht="12" customHeight="1" x14ac:dyDescent="0.2">
      <c r="A82" s="99" t="s">
        <v>257</v>
      </c>
      <c r="B82" s="101"/>
      <c r="C82" s="113">
        <v>0</v>
      </c>
      <c r="D82" s="101"/>
      <c r="E82" s="100"/>
      <c r="F82" s="102">
        <f t="shared" si="7"/>
        <v>0</v>
      </c>
      <c r="G82" s="103"/>
      <c r="H82" s="103" t="s">
        <v>248</v>
      </c>
      <c r="I82" s="104" t="s">
        <v>295</v>
      </c>
      <c r="J82" s="4"/>
      <c r="K82" s="49"/>
      <c r="L82" s="49"/>
      <c r="M82" s="49"/>
    </row>
    <row r="83" spans="1:13" s="1" customFormat="1" ht="12" customHeight="1" x14ac:dyDescent="0.2">
      <c r="A83" s="99" t="s">
        <v>258</v>
      </c>
      <c r="B83" s="101"/>
      <c r="C83" s="113">
        <v>0</v>
      </c>
      <c r="D83" s="101"/>
      <c r="E83" s="100"/>
      <c r="F83" s="102">
        <f t="shared" si="7"/>
        <v>0</v>
      </c>
      <c r="G83" s="103"/>
      <c r="H83" s="103" t="s">
        <v>249</v>
      </c>
      <c r="I83" s="104" t="s">
        <v>295</v>
      </c>
      <c r="J83" s="4"/>
      <c r="K83" s="49"/>
      <c r="L83" s="49"/>
      <c r="M83" s="49"/>
    </row>
    <row r="84" spans="1:13" s="1" customFormat="1" ht="12" customHeight="1" x14ac:dyDescent="0.2">
      <c r="A84" s="114" t="s">
        <v>259</v>
      </c>
      <c r="B84" s="115"/>
      <c r="C84" s="116">
        <v>0</v>
      </c>
      <c r="D84" s="115"/>
      <c r="E84" s="117"/>
      <c r="F84" s="118">
        <f t="shared" si="7"/>
        <v>0</v>
      </c>
      <c r="G84" s="119"/>
      <c r="H84" s="119" t="s">
        <v>250</v>
      </c>
      <c r="I84" s="104" t="s">
        <v>295</v>
      </c>
      <c r="J84" s="4"/>
      <c r="K84" s="49"/>
      <c r="L84" s="49"/>
      <c r="M84" s="49"/>
    </row>
    <row r="85" spans="1:13" x14ac:dyDescent="0.2">
      <c r="A85" s="43" t="s">
        <v>286</v>
      </c>
      <c r="B85" s="110"/>
      <c r="C85" s="109">
        <v>0</v>
      </c>
      <c r="D85" s="108"/>
      <c r="E85" s="109"/>
      <c r="F85" s="109"/>
      <c r="G85" s="109"/>
      <c r="H85" s="109" t="s">
        <v>291</v>
      </c>
      <c r="I85" s="112" t="s">
        <v>290</v>
      </c>
      <c r="J85" s="4"/>
    </row>
    <row r="86" spans="1:13" x14ac:dyDescent="0.2">
      <c r="A86" s="107" t="s">
        <v>287</v>
      </c>
      <c r="B86" s="110"/>
      <c r="C86" s="109">
        <v>0</v>
      </c>
      <c r="D86" s="108"/>
      <c r="E86" s="109"/>
      <c r="F86" s="109"/>
      <c r="G86" s="109"/>
      <c r="H86" s="109" t="s">
        <v>292</v>
      </c>
      <c r="I86" s="112" t="s">
        <v>290</v>
      </c>
      <c r="J86" s="4"/>
    </row>
    <row r="87" spans="1:13" x14ac:dyDescent="0.2">
      <c r="A87" s="43" t="s">
        <v>288</v>
      </c>
      <c r="B87" s="110"/>
      <c r="C87" s="109">
        <v>0</v>
      </c>
      <c r="D87" s="108"/>
      <c r="E87" s="109"/>
      <c r="F87" s="109"/>
      <c r="G87" s="109"/>
      <c r="H87" s="109" t="s">
        <v>293</v>
      </c>
      <c r="I87" s="112" t="s">
        <v>290</v>
      </c>
      <c r="J87" s="4"/>
    </row>
    <row r="88" spans="1:13" x14ac:dyDescent="0.2">
      <c r="A88" s="43" t="s">
        <v>289</v>
      </c>
      <c r="B88" s="110"/>
      <c r="C88" s="48">
        <v>0</v>
      </c>
      <c r="D88" s="47"/>
      <c r="E88" s="48"/>
      <c r="F88" s="48"/>
      <c r="G88" s="48"/>
      <c r="H88" s="48" t="s">
        <v>294</v>
      </c>
      <c r="I88" s="112" t="s">
        <v>290</v>
      </c>
      <c r="J88" s="4"/>
    </row>
    <row r="89" spans="1:13" x14ac:dyDescent="0.2">
      <c r="C89" s="3"/>
    </row>
    <row r="90" spans="1:13" x14ac:dyDescent="0.2">
      <c r="C90" s="3"/>
    </row>
    <row r="91" spans="1:13" x14ac:dyDescent="0.2">
      <c r="C91" s="3"/>
    </row>
    <row r="92" spans="1:13" x14ac:dyDescent="0.2">
      <c r="C92" s="3"/>
    </row>
    <row r="93" spans="1:13" x14ac:dyDescent="0.2">
      <c r="C93" s="3"/>
    </row>
    <row r="94" spans="1:13" x14ac:dyDescent="0.2">
      <c r="C94" s="3"/>
    </row>
    <row r="95" spans="1:13" x14ac:dyDescent="0.2">
      <c r="C95" s="3"/>
    </row>
    <row r="96" spans="1:13" x14ac:dyDescent="0.2">
      <c r="C96" s="3"/>
    </row>
    <row r="97" spans="3:3" x14ac:dyDescent="0.2">
      <c r="C97" s="3"/>
    </row>
    <row r="98" spans="3:3" x14ac:dyDescent="0.2">
      <c r="C98" s="3"/>
    </row>
  </sheetData>
  <mergeCells count="1">
    <mergeCell ref="F14:I14"/>
  </mergeCells>
  <phoneticPr fontId="14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S62"/>
  <sheetViews>
    <sheetView tabSelected="1" zoomScale="80" zoomScaleNormal="80" workbookViewId="0">
      <selection activeCell="R39" sqref="R39"/>
    </sheetView>
  </sheetViews>
  <sheetFormatPr baseColWidth="10" defaultColWidth="11.42578125" defaultRowHeight="12.75" x14ac:dyDescent="0.2"/>
  <cols>
    <col min="1" max="2" width="11.42578125" style="10"/>
    <col min="3" max="3" width="11.5703125" style="10" bestFit="1" customWidth="1"/>
    <col min="4" max="4" width="7.85546875" style="10" customWidth="1"/>
    <col min="5" max="5" width="14.42578125" style="10" customWidth="1"/>
    <col min="6" max="6" width="11.5703125" style="10" bestFit="1" customWidth="1"/>
    <col min="7" max="8" width="11.42578125" style="10"/>
    <col min="9" max="9" width="11.5703125" style="10" bestFit="1" customWidth="1"/>
    <col min="10" max="10" width="11.42578125" style="10"/>
    <col min="11" max="11" width="11.5703125" style="10" bestFit="1" customWidth="1"/>
    <col min="12" max="12" width="13.42578125" style="10" customWidth="1"/>
    <col min="13" max="13" width="11.5703125" style="10" bestFit="1" customWidth="1"/>
    <col min="14" max="14" width="16.7109375" style="10" customWidth="1"/>
    <col min="15" max="15" width="13" style="10" customWidth="1"/>
    <col min="16" max="16" width="11.5703125" style="10" bestFit="1" customWidth="1"/>
    <col min="17" max="17" width="11.42578125" style="10"/>
    <col min="18" max="18" width="12.42578125" style="10" customWidth="1"/>
    <col min="19" max="16384" width="11.42578125" style="10"/>
  </cols>
  <sheetData>
    <row r="1" spans="1:16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6" x14ac:dyDescent="0.2">
      <c r="A3" s="9"/>
      <c r="B3" s="9"/>
      <c r="C3" s="185"/>
      <c r="D3" s="185"/>
      <c r="E3" s="185"/>
      <c r="F3" s="185"/>
      <c r="G3" s="185"/>
      <c r="H3" s="185"/>
      <c r="I3" s="221">
        <f>F8</f>
        <v>14328.179999999998</v>
      </c>
      <c r="J3" s="9"/>
      <c r="K3" s="9"/>
      <c r="L3" s="9"/>
      <c r="M3" s="9"/>
      <c r="O3" s="224">
        <v>6827.74</v>
      </c>
    </row>
    <row r="4" spans="1:16" x14ac:dyDescent="0.2">
      <c r="A4" s="9"/>
      <c r="B4" s="9"/>
      <c r="C4" s="185"/>
      <c r="D4" s="185"/>
      <c r="E4" s="185"/>
      <c r="F4" s="185"/>
      <c r="G4" s="185"/>
      <c r="H4" s="185"/>
      <c r="I4" s="222"/>
      <c r="J4" s="9"/>
      <c r="K4" s="9"/>
      <c r="L4" s="9"/>
      <c r="M4" s="9"/>
      <c r="O4" s="225"/>
    </row>
    <row r="5" spans="1:16" x14ac:dyDescent="0.2">
      <c r="A5" s="9"/>
      <c r="B5" s="9"/>
      <c r="C5" s="185"/>
      <c r="D5" s="185"/>
      <c r="E5" s="185"/>
      <c r="F5" s="185"/>
      <c r="G5" s="185"/>
      <c r="H5" s="185"/>
      <c r="I5" s="185"/>
      <c r="J5" s="9"/>
      <c r="K5" s="9"/>
      <c r="L5" s="9"/>
      <c r="M5" s="9"/>
    </row>
    <row r="6" spans="1:16" ht="13.5" thickBot="1" x14ac:dyDescent="0.25">
      <c r="A6" s="9"/>
      <c r="C6" s="193"/>
      <c r="D6" s="185"/>
      <c r="E6" s="185"/>
      <c r="F6" s="185"/>
      <c r="G6" s="185"/>
      <c r="H6" s="186"/>
      <c r="I6" s="186"/>
      <c r="J6" s="9"/>
      <c r="K6" s="9"/>
      <c r="L6" s="9"/>
      <c r="M6" s="9"/>
    </row>
    <row r="7" spans="1:16" x14ac:dyDescent="0.2">
      <c r="A7" s="9"/>
      <c r="B7" s="9"/>
      <c r="C7" s="185"/>
      <c r="D7" s="185"/>
      <c r="E7" s="185"/>
      <c r="F7" s="185"/>
      <c r="G7" s="185"/>
      <c r="H7" s="215" t="s">
        <v>74</v>
      </c>
      <c r="I7" s="216"/>
      <c r="J7" s="9"/>
      <c r="K7" s="9"/>
      <c r="L7" s="9"/>
      <c r="M7" s="9"/>
    </row>
    <row r="8" spans="1:16" ht="34.5" customHeight="1" x14ac:dyDescent="0.2">
      <c r="A8" s="9"/>
      <c r="B8" s="9"/>
      <c r="C8" s="185"/>
      <c r="D8" s="185"/>
      <c r="E8" s="185" t="s">
        <v>66</v>
      </c>
      <c r="F8" s="194">
        <f>'Consumo barnices'!H42+'Consumo barnices'!H45</f>
        <v>14328.179999999998</v>
      </c>
      <c r="G8" s="185"/>
      <c r="H8" s="217"/>
      <c r="I8" s="218"/>
      <c r="J8" s="9"/>
      <c r="K8" s="9"/>
      <c r="L8" s="223" t="s">
        <v>75</v>
      </c>
      <c r="M8" s="223"/>
    </row>
    <row r="9" spans="1:16" ht="13.5" thickBot="1" x14ac:dyDescent="0.25">
      <c r="A9" s="9"/>
      <c r="B9" s="9"/>
      <c r="C9" s="185"/>
      <c r="D9" s="185"/>
      <c r="E9" s="185"/>
      <c r="F9" s="185"/>
      <c r="G9" s="185"/>
      <c r="H9" s="219"/>
      <c r="I9" s="220"/>
      <c r="J9" s="37"/>
      <c r="K9" s="9"/>
      <c r="L9" s="9"/>
      <c r="M9" s="9"/>
    </row>
    <row r="10" spans="1:16" x14ac:dyDescent="0.2">
      <c r="A10" s="9"/>
      <c r="B10" s="9"/>
      <c r="C10" s="185"/>
      <c r="D10" s="185"/>
      <c r="E10" s="185"/>
      <c r="F10" s="185"/>
      <c r="G10" s="185"/>
      <c r="H10" s="185"/>
      <c r="I10" s="185"/>
      <c r="J10" s="9"/>
      <c r="K10" s="9"/>
      <c r="L10" s="9"/>
      <c r="M10" s="9"/>
    </row>
    <row r="11" spans="1:16" x14ac:dyDescent="0.2">
      <c r="A11" s="9"/>
      <c r="B11" s="9"/>
      <c r="C11" s="185"/>
      <c r="D11" s="185"/>
      <c r="E11" s="185"/>
      <c r="F11" s="185"/>
      <c r="G11" s="185"/>
      <c r="H11" s="185"/>
      <c r="I11" s="185"/>
      <c r="J11" s="9"/>
      <c r="K11" s="9"/>
      <c r="L11" s="9"/>
      <c r="M11" s="9"/>
    </row>
    <row r="12" spans="1:16" x14ac:dyDescent="0.2">
      <c r="A12" s="9"/>
      <c r="B12" s="9"/>
      <c r="C12" s="185"/>
      <c r="D12" s="185"/>
      <c r="E12" s="185"/>
      <c r="F12" s="185"/>
      <c r="G12" s="185"/>
      <c r="H12" s="185"/>
      <c r="I12" s="185"/>
      <c r="J12" s="9"/>
      <c r="K12" s="9"/>
      <c r="L12" s="9"/>
      <c r="M12" s="9"/>
    </row>
    <row r="13" spans="1:16" x14ac:dyDescent="0.2">
      <c r="A13" s="9"/>
      <c r="B13" s="9"/>
      <c r="C13" s="185"/>
      <c r="D13" s="185"/>
      <c r="E13" s="185"/>
      <c r="F13" s="185"/>
      <c r="G13" s="185"/>
      <c r="H13" s="185"/>
      <c r="I13" s="185"/>
      <c r="J13" s="9"/>
      <c r="K13" s="9"/>
      <c r="L13" s="9"/>
      <c r="M13" s="9"/>
    </row>
    <row r="14" spans="1:16" ht="40.5" customHeight="1" x14ac:dyDescent="0.2">
      <c r="A14" s="223" t="s">
        <v>76</v>
      </c>
      <c r="B14" s="241"/>
      <c r="C14" s="194">
        <v>543660.54</v>
      </c>
      <c r="D14" s="185"/>
      <c r="E14" s="185"/>
      <c r="F14" s="185"/>
      <c r="G14" s="185"/>
      <c r="H14" s="185"/>
      <c r="I14" s="185"/>
      <c r="J14" s="9"/>
      <c r="K14" s="9"/>
      <c r="L14" s="9"/>
      <c r="M14" s="9"/>
    </row>
    <row r="15" spans="1:16" x14ac:dyDescent="0.2">
      <c r="A15" s="9"/>
      <c r="C15" s="30"/>
      <c r="D15" s="9"/>
      <c r="E15" s="9"/>
      <c r="F15" s="9"/>
      <c r="G15" s="9"/>
      <c r="H15" s="9"/>
      <c r="I15" s="9"/>
      <c r="J15" s="9"/>
      <c r="K15" s="9"/>
      <c r="L15" s="11" t="s">
        <v>72</v>
      </c>
      <c r="M15" s="221">
        <f>K23-P15</f>
        <v>505132.16130932863</v>
      </c>
      <c r="O15" s="12" t="s">
        <v>73</v>
      </c>
      <c r="P15" s="244">
        <f>'Emision masica'!F6</f>
        <v>10946.122052991299</v>
      </c>
    </row>
    <row r="16" spans="1:16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11" t="s">
        <v>71</v>
      </c>
      <c r="M16" s="222"/>
      <c r="O16" s="12" t="s">
        <v>70</v>
      </c>
      <c r="P16" s="245"/>
    </row>
    <row r="17" spans="1:15" ht="15.75" customHeight="1" x14ac:dyDescent="0.2">
      <c r="A17" s="223" t="s">
        <v>282</v>
      </c>
      <c r="B17" s="223"/>
      <c r="C17" s="195">
        <f>10489+8941</f>
        <v>19430</v>
      </c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5" x14ac:dyDescent="0.2">
      <c r="A18" s="9"/>
      <c r="B18" s="9"/>
      <c r="C18" s="9"/>
      <c r="D18" s="9"/>
      <c r="E18" s="9"/>
      <c r="F18" s="9"/>
      <c r="G18" s="9"/>
      <c r="H18" s="185"/>
      <c r="I18" s="221">
        <f>(I29*F23)/100</f>
        <v>13254.076637680044</v>
      </c>
      <c r="J18" s="185"/>
      <c r="K18" s="185"/>
      <c r="L18" s="9"/>
      <c r="M18" s="9"/>
    </row>
    <row r="19" spans="1:15" x14ac:dyDescent="0.2">
      <c r="A19" s="9"/>
      <c r="B19" s="9"/>
      <c r="C19" s="9"/>
      <c r="D19" s="9"/>
      <c r="E19" s="9"/>
      <c r="F19" s="9"/>
      <c r="G19" s="9"/>
      <c r="H19" s="185"/>
      <c r="I19" s="222"/>
      <c r="J19" s="185"/>
      <c r="K19" s="185"/>
      <c r="L19" s="9"/>
      <c r="M19" s="9"/>
    </row>
    <row r="20" spans="1:15" x14ac:dyDescent="0.2">
      <c r="A20" s="9"/>
      <c r="B20" s="9"/>
      <c r="C20" s="9"/>
      <c r="D20" s="9"/>
      <c r="E20" s="9"/>
      <c r="F20" s="9"/>
      <c r="G20" s="9"/>
      <c r="H20" s="185"/>
      <c r="I20" s="185"/>
      <c r="J20" s="185"/>
      <c r="K20" s="185"/>
      <c r="L20" s="9"/>
      <c r="M20" s="9"/>
    </row>
    <row r="21" spans="1:15" ht="13.5" thickBot="1" x14ac:dyDescent="0.25">
      <c r="A21" s="9"/>
      <c r="B21" s="9"/>
      <c r="C21" s="9"/>
      <c r="D21" s="9"/>
      <c r="E21" s="9"/>
      <c r="F21" s="9"/>
      <c r="G21" s="9"/>
      <c r="H21" s="185"/>
      <c r="I21" s="185"/>
      <c r="J21" s="185"/>
      <c r="K21" s="185"/>
      <c r="L21" s="9"/>
      <c r="M21" s="9"/>
    </row>
    <row r="22" spans="1:15" ht="12.75" customHeight="1" thickBot="1" x14ac:dyDescent="0.25">
      <c r="A22" s="9"/>
      <c r="B22" s="9"/>
      <c r="C22" s="9"/>
      <c r="D22" s="9"/>
      <c r="E22" s="9"/>
      <c r="F22" s="9"/>
      <c r="G22" s="9"/>
      <c r="H22" s="226" t="s">
        <v>67</v>
      </c>
      <c r="I22" s="227"/>
      <c r="J22" s="185"/>
      <c r="K22" s="185"/>
      <c r="L22" s="9"/>
      <c r="M22" s="215" t="s">
        <v>69</v>
      </c>
      <c r="N22" s="232"/>
      <c r="O22" s="216"/>
    </row>
    <row r="23" spans="1:15" ht="39" thickBot="1" x14ac:dyDescent="0.25">
      <c r="A23" s="9"/>
      <c r="B23" s="9"/>
      <c r="C23" s="9"/>
      <c r="D23" s="9"/>
      <c r="E23" s="11" t="s">
        <v>65</v>
      </c>
      <c r="F23" s="194">
        <f>C14-F8</f>
        <v>529332.36</v>
      </c>
      <c r="G23" s="9"/>
      <c r="H23" s="228"/>
      <c r="I23" s="229"/>
      <c r="J23" s="185"/>
      <c r="K23" s="196">
        <f>F23-I18</f>
        <v>516078.28336231993</v>
      </c>
      <c r="L23" s="9"/>
      <c r="M23" s="217"/>
      <c r="N23" s="223"/>
      <c r="O23" s="218"/>
    </row>
    <row r="24" spans="1:15" ht="13.5" thickBot="1" x14ac:dyDescent="0.25">
      <c r="A24" s="9"/>
      <c r="B24" s="9"/>
      <c r="C24" s="9"/>
      <c r="D24" s="9"/>
      <c r="E24" s="9"/>
      <c r="F24" s="9"/>
      <c r="G24" s="9"/>
      <c r="H24" s="230"/>
      <c r="I24" s="231"/>
      <c r="J24" s="185"/>
      <c r="K24" s="185"/>
      <c r="L24" s="9"/>
      <c r="M24" s="219"/>
      <c r="N24" s="233"/>
      <c r="O24" s="220"/>
    </row>
    <row r="25" spans="1:15" x14ac:dyDescent="0.2">
      <c r="A25" s="9"/>
      <c r="B25" s="9"/>
      <c r="C25" s="9"/>
      <c r="D25" s="9"/>
      <c r="E25" s="9"/>
      <c r="F25" s="9"/>
      <c r="G25" s="9"/>
      <c r="H25" s="185"/>
      <c r="I25" s="185"/>
      <c r="J25" s="185"/>
      <c r="K25" s="185"/>
      <c r="L25" s="9"/>
      <c r="M25" s="9"/>
    </row>
    <row r="26" spans="1:15" x14ac:dyDescent="0.2">
      <c r="A26" s="9"/>
      <c r="B26" s="9"/>
      <c r="C26" s="9"/>
      <c r="D26" s="9"/>
      <c r="E26" s="9"/>
      <c r="F26" s="9"/>
      <c r="H26" s="193"/>
      <c r="I26" s="185"/>
      <c r="J26" s="185"/>
      <c r="K26" s="185"/>
      <c r="L26" s="9"/>
      <c r="M26" s="9"/>
    </row>
    <row r="27" spans="1:15" x14ac:dyDescent="0.2">
      <c r="A27" s="9"/>
      <c r="B27" s="9"/>
      <c r="C27" s="9"/>
      <c r="D27" s="9"/>
      <c r="E27" s="9"/>
      <c r="F27" s="9"/>
      <c r="G27" s="9"/>
      <c r="H27" s="185"/>
      <c r="I27" s="185"/>
      <c r="J27" s="185"/>
      <c r="K27" s="185"/>
      <c r="L27" s="9"/>
      <c r="M27" s="9"/>
    </row>
    <row r="28" spans="1:15" x14ac:dyDescent="0.2">
      <c r="A28" s="9"/>
      <c r="B28" s="9"/>
      <c r="C28" s="9"/>
      <c r="D28" s="9"/>
      <c r="E28" s="9"/>
      <c r="F28" s="9"/>
      <c r="G28" s="9"/>
      <c r="H28" s="185"/>
      <c r="I28" s="185"/>
      <c r="J28" s="185"/>
      <c r="K28" s="185"/>
      <c r="L28" s="9"/>
      <c r="M28" s="9"/>
    </row>
    <row r="29" spans="1:15" x14ac:dyDescent="0.2">
      <c r="A29" s="9"/>
      <c r="B29" s="9"/>
      <c r="C29" s="9"/>
      <c r="D29" s="9"/>
      <c r="E29" s="9"/>
      <c r="F29" s="9"/>
      <c r="G29" s="9"/>
      <c r="H29" s="14" t="s">
        <v>68</v>
      </c>
      <c r="I29" s="197">
        <f>'Calculo % difusas'!C29</f>
        <v>2.5039233644585877</v>
      </c>
      <c r="J29" s="185"/>
      <c r="K29" s="185"/>
      <c r="L29" s="9"/>
      <c r="M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15"/>
      <c r="L32" s="16"/>
      <c r="M32" s="16"/>
      <c r="N32" s="17"/>
      <c r="O32" s="18"/>
    </row>
    <row r="33" spans="1:19" x14ac:dyDescent="0.2">
      <c r="A33" s="9"/>
      <c r="B33" s="9"/>
      <c r="C33" s="9"/>
      <c r="D33" s="9"/>
      <c r="E33" s="9"/>
      <c r="F33" s="9"/>
      <c r="G33" s="9"/>
      <c r="H33" s="9"/>
      <c r="I33" s="9"/>
      <c r="J33" s="185"/>
      <c r="K33" s="199"/>
      <c r="L33" s="24"/>
      <c r="M33" s="24"/>
      <c r="N33" s="198"/>
      <c r="O33" s="200"/>
      <c r="P33" s="193"/>
      <c r="Q33" s="193"/>
      <c r="R33" s="193"/>
      <c r="S33" s="193"/>
    </row>
    <row r="34" spans="1:19" ht="12.75" customHeight="1" x14ac:dyDescent="0.2">
      <c r="A34" s="9"/>
      <c r="B34" s="9"/>
      <c r="C34" s="9"/>
      <c r="D34" s="9"/>
      <c r="E34" s="9"/>
      <c r="F34" s="9"/>
      <c r="G34" s="9"/>
      <c r="H34" s="9"/>
      <c r="I34" s="9"/>
      <c r="J34" s="185"/>
      <c r="K34" s="199"/>
      <c r="L34" s="234">
        <f>(I3+I18)-O3</f>
        <v>20754.516637680041</v>
      </c>
      <c r="M34" s="24"/>
      <c r="N34" s="234">
        <f>P15+L34</f>
        <v>31700.638690671338</v>
      </c>
      <c r="O34" s="200"/>
      <c r="P34" s="193"/>
      <c r="Q34" s="193"/>
      <c r="R34" s="193"/>
      <c r="S34" s="193"/>
    </row>
    <row r="35" spans="1:19" ht="12.75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185"/>
      <c r="K35" s="199"/>
      <c r="L35" s="235"/>
      <c r="M35" s="24"/>
      <c r="N35" s="235"/>
      <c r="O35" s="200"/>
      <c r="P35" s="193"/>
      <c r="Q35" s="193"/>
      <c r="R35" s="193"/>
      <c r="S35" s="193"/>
    </row>
    <row r="36" spans="1:19" ht="13.5" customHeight="1" x14ac:dyDescent="0.2">
      <c r="A36" s="9"/>
      <c r="B36" s="13"/>
      <c r="C36" s="242" t="s">
        <v>77</v>
      </c>
      <c r="D36" s="223"/>
      <c r="E36" s="9"/>
      <c r="F36" s="9"/>
      <c r="G36" s="9"/>
      <c r="H36" s="9"/>
      <c r="I36" s="9"/>
      <c r="J36" s="185"/>
      <c r="K36" s="199"/>
      <c r="L36" s="24"/>
      <c r="M36" s="24"/>
      <c r="N36" s="198"/>
      <c r="O36" s="200"/>
      <c r="P36" s="193"/>
      <c r="Q36" s="193"/>
      <c r="R36" s="238">
        <f>(N34)/C17</f>
        <v>1.6315305553613657</v>
      </c>
      <c r="S36" s="193"/>
    </row>
    <row r="37" spans="1:19" x14ac:dyDescent="0.2">
      <c r="A37" s="9"/>
      <c r="B37" s="9"/>
      <c r="C37" s="9"/>
      <c r="D37" s="9"/>
      <c r="E37" s="9"/>
      <c r="F37" s="9"/>
      <c r="G37" s="9"/>
      <c r="H37" s="9"/>
      <c r="I37" s="9"/>
      <c r="J37" s="185"/>
      <c r="K37" s="199"/>
      <c r="L37" s="236">
        <f>L34/C14</f>
        <v>3.8175506792676249E-2</v>
      </c>
      <c r="M37" s="24"/>
      <c r="N37" s="236">
        <f>N34*100/C14</f>
        <v>5.8309618517965891</v>
      </c>
      <c r="O37" s="200"/>
      <c r="P37" s="193"/>
      <c r="Q37" s="193"/>
      <c r="R37" s="239"/>
      <c r="S37" s="193"/>
    </row>
    <row r="38" spans="1:19" x14ac:dyDescent="0.2">
      <c r="A38" s="9"/>
      <c r="B38" s="23"/>
      <c r="C38" s="242" t="s">
        <v>78</v>
      </c>
      <c r="D38" s="243"/>
      <c r="E38" s="9"/>
      <c r="F38" s="9"/>
      <c r="G38" s="9"/>
      <c r="H38" s="9"/>
      <c r="I38" s="9"/>
      <c r="J38" s="185"/>
      <c r="K38" s="199"/>
      <c r="L38" s="237"/>
      <c r="M38" s="24"/>
      <c r="N38" s="237"/>
      <c r="O38" s="200"/>
      <c r="P38" s="193"/>
      <c r="Q38" s="193"/>
      <c r="R38" s="240"/>
      <c r="S38" s="193"/>
    </row>
    <row r="39" spans="1:19" ht="25.5" x14ac:dyDescent="0.2">
      <c r="A39" s="9"/>
      <c r="B39" s="9"/>
      <c r="C39" s="9"/>
      <c r="D39" s="9"/>
      <c r="E39" s="9"/>
      <c r="F39" s="9"/>
      <c r="G39" s="9"/>
      <c r="H39" s="9"/>
      <c r="I39" s="9"/>
      <c r="J39" s="185"/>
      <c r="K39" s="199"/>
      <c r="L39" s="24" t="s">
        <v>79</v>
      </c>
      <c r="M39" s="24"/>
      <c r="N39" s="25" t="s">
        <v>173</v>
      </c>
      <c r="O39" s="200"/>
      <c r="P39" s="193"/>
      <c r="Q39" s="193"/>
      <c r="R39" s="193"/>
      <c r="S39" s="193"/>
    </row>
    <row r="40" spans="1:19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19"/>
      <c r="L40" s="20"/>
      <c r="M40" s="20"/>
      <c r="N40" s="21"/>
      <c r="O40" s="22"/>
    </row>
    <row r="41" spans="1:19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26"/>
      <c r="L41" s="27"/>
      <c r="M41" s="27"/>
      <c r="N41" s="28"/>
      <c r="O41" s="29"/>
    </row>
    <row r="42" spans="1:19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9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9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9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9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9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9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3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3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3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13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13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13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13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13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13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13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13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13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</sheetData>
  <mergeCells count="18">
    <mergeCell ref="N34:N35"/>
    <mergeCell ref="N37:N38"/>
    <mergeCell ref="R36:R38"/>
    <mergeCell ref="A14:B14"/>
    <mergeCell ref="C36:D36"/>
    <mergeCell ref="C38:D38"/>
    <mergeCell ref="L34:L35"/>
    <mergeCell ref="L37:L38"/>
    <mergeCell ref="A17:B17"/>
    <mergeCell ref="P15:P16"/>
    <mergeCell ref="M15:M16"/>
    <mergeCell ref="H7:I9"/>
    <mergeCell ref="I3:I4"/>
    <mergeCell ref="L8:M8"/>
    <mergeCell ref="O3:O4"/>
    <mergeCell ref="H22:I24"/>
    <mergeCell ref="I18:I19"/>
    <mergeCell ref="M22:O24"/>
  </mergeCells>
  <pageMargins left="0.7" right="0.7" top="0.75" bottom="0.75" header="0.3" footer="0.3"/>
  <pageSetup paperSize="9" scale="5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Consumo barnices</vt:lpstr>
      <vt:lpstr>Horas funcionamiento</vt:lpstr>
      <vt:lpstr>Calculo % difusas</vt:lpstr>
      <vt:lpstr>Emision masica</vt:lpstr>
      <vt:lpstr>BALANCE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Gurutze Galdos</dc:creator>
  <cp:lastModifiedBy>Usuario de Windows</cp:lastModifiedBy>
  <cp:lastPrinted>2022-03-08T08:04:27Z</cp:lastPrinted>
  <dcterms:created xsi:type="dcterms:W3CDTF">2019-01-11T09:13:18Z</dcterms:created>
  <dcterms:modified xsi:type="dcterms:W3CDTF">2025-03-24T18:15:25Z</dcterms:modified>
</cp:coreProperties>
</file>